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ноут\ЦЭК\2021\Раскрытие инормации\"/>
    </mc:Choice>
  </mc:AlternateContent>
  <xr:revisionPtr revIDLastSave="0" documentId="8_{90DB176A-45A3-49A9-85D7-A0C5F7BEA40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2" i="1" l="1"/>
  <c r="H132" i="1"/>
  <c r="H77" i="1"/>
  <c r="H78" i="1"/>
  <c r="H79" i="1"/>
  <c r="H80" i="1"/>
  <c r="H81" i="1"/>
  <c r="H82" i="1"/>
  <c r="H83" i="1"/>
  <c r="H84" i="1"/>
  <c r="H85" i="1"/>
  <c r="H86" i="1"/>
  <c r="H87" i="1"/>
  <c r="H89" i="1"/>
  <c r="H90" i="1"/>
  <c r="H91" i="1"/>
  <c r="H92" i="1"/>
  <c r="H93" i="1"/>
  <c r="H94" i="1"/>
  <c r="H95" i="1"/>
  <c r="H96" i="1"/>
  <c r="H76" i="1"/>
  <c r="G99" i="1"/>
  <c r="F132" i="1"/>
  <c r="E132" i="1"/>
  <c r="C132" i="1"/>
  <c r="D132" i="1" s="1"/>
  <c r="L77" i="1"/>
  <c r="L79" i="1"/>
  <c r="L81" i="1"/>
  <c r="L82" i="1"/>
  <c r="L84" i="1"/>
  <c r="L85" i="1"/>
  <c r="L86" i="1"/>
  <c r="L87" i="1"/>
  <c r="L88" i="1"/>
  <c r="C99" i="1"/>
  <c r="F99" i="1" l="1"/>
  <c r="H99" i="1" s="1"/>
  <c r="H73" i="1" s="1"/>
  <c r="E78" i="1" l="1"/>
  <c r="L78" i="1" s="1"/>
  <c r="E76" i="1"/>
  <c r="L76" i="1" s="1"/>
  <c r="C73" i="1" l="1"/>
  <c r="E98" i="1"/>
  <c r="E97" i="1"/>
  <c r="E96" i="1"/>
  <c r="L96" i="1" s="1"/>
  <c r="E95" i="1"/>
  <c r="L95" i="1" s="1"/>
  <c r="E94" i="1"/>
  <c r="L94" i="1" s="1"/>
  <c r="E93" i="1"/>
  <c r="L93" i="1" s="1"/>
  <c r="E92" i="1"/>
  <c r="L92" i="1" s="1"/>
  <c r="E91" i="1"/>
  <c r="L91" i="1" s="1"/>
  <c r="E90" i="1"/>
  <c r="L90" i="1" s="1"/>
  <c r="E89" i="1"/>
  <c r="L89" i="1" s="1"/>
  <c r="E83" i="1"/>
  <c r="L83" i="1" s="1"/>
  <c r="E80" i="1"/>
  <c r="L80" i="1" s="1"/>
  <c r="F31" i="1"/>
  <c r="F46" i="1"/>
  <c r="F88" i="1" l="1"/>
  <c r="H88" i="1" s="1"/>
  <c r="E99" i="1"/>
  <c r="D99" i="1" s="1"/>
  <c r="F68" i="1"/>
  <c r="F62" i="1"/>
  <c r="F54" i="1"/>
  <c r="E57" i="1"/>
  <c r="E49" i="1"/>
  <c r="E73" i="1" l="1"/>
  <c r="D73" i="1" s="1"/>
  <c r="F73" i="1"/>
  <c r="F70" i="1"/>
  <c r="F44" i="1"/>
  <c r="F42" i="1"/>
  <c r="F40" i="1"/>
  <c r="F38" i="1"/>
  <c r="F36" i="1"/>
  <c r="F35" i="1"/>
  <c r="F34" i="1"/>
  <c r="F33" i="1"/>
  <c r="F32" i="1"/>
  <c r="F48" i="1" l="1"/>
  <c r="E50" i="1" s="1"/>
  <c r="F29" i="1" l="1"/>
  <c r="E54" i="1"/>
  <c r="E55" i="1"/>
  <c r="E56" i="1"/>
  <c r="E58" i="1"/>
  <c r="E59" i="1"/>
  <c r="E60" i="1"/>
  <c r="E61" i="1"/>
  <c r="E62" i="1"/>
  <c r="E63" i="1"/>
  <c r="E64" i="1"/>
  <c r="E65" i="1"/>
  <c r="E66" i="1"/>
  <c r="E67" i="1"/>
  <c r="E68" i="1"/>
  <c r="E69" i="1"/>
  <c r="E53" i="1"/>
  <c r="C70" i="1"/>
  <c r="C48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31" i="1"/>
  <c r="C29" i="1" l="1"/>
  <c r="E48" i="1"/>
  <c r="E70" i="1"/>
  <c r="D70" i="1" s="1"/>
  <c r="D48" i="1" l="1"/>
  <c r="E29" i="1"/>
  <c r="D29" i="1" s="1"/>
  <c r="E25" i="1" l="1"/>
  <c r="E24" i="1" l="1"/>
  <c r="E23" i="1"/>
  <c r="E11" i="1" l="1"/>
  <c r="H11" i="1" s="1"/>
  <c r="E6" i="1"/>
  <c r="E3" i="1"/>
  <c r="H3" i="1" s="1"/>
  <c r="H4" i="1" s="1"/>
  <c r="H5" i="1" s="1"/>
  <c r="H6" i="1" l="1"/>
  <c r="H7" i="1" s="1"/>
  <c r="H8" i="1" s="1"/>
  <c r="H9" i="1" s="1"/>
  <c r="H10" i="1" s="1"/>
  <c r="E22" i="1"/>
  <c r="H22" i="1" s="1"/>
  <c r="E21" i="1"/>
  <c r="H21" i="1" s="1"/>
  <c r="E20" i="1"/>
  <c r="H20" i="1" s="1"/>
  <c r="E19" i="1"/>
  <c r="E18" i="1"/>
  <c r="E17" i="1"/>
  <c r="E16" i="1"/>
  <c r="H16" i="1" s="1"/>
  <c r="E15" i="1"/>
  <c r="E14" i="1"/>
</calcChain>
</file>

<file path=xl/sharedStrings.xml><?xml version="1.0" encoding="utf-8"?>
<sst xmlns="http://schemas.openxmlformats.org/spreadsheetml/2006/main" count="197" uniqueCount="108">
  <si>
    <t>начислено с НДС</t>
  </si>
  <si>
    <t>оплачено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</si>
  <si>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</si>
  <si>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</si>
  <si>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</si>
  <si>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</si>
  <si>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</si>
  <si>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</si>
  <si>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</si>
  <si>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</si>
  <si>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</si>
  <si>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№ ПП</t>
  </si>
  <si>
    <t>ноябрь</t>
  </si>
  <si>
    <t>дата списания со счета</t>
  </si>
  <si>
    <t>декабрь</t>
  </si>
  <si>
    <t>Расчеты ООО "ЦЭК" с АО "Мосэнергосбыт" за электроэнергию на компенсацию потерь</t>
  </si>
  <si>
    <t>объем потерь к оплате</t>
  </si>
  <si>
    <t>цена без НДС</t>
  </si>
  <si>
    <t>примечание</t>
  </si>
  <si>
    <t>сальдо на конец расчетного периода</t>
  </si>
  <si>
    <t>объем потерь к оплате, кВтч</t>
  </si>
  <si>
    <t>аванс за 09.19 в объеме 30 % начислений за 07.19 (аванс 1 09.19)</t>
  </si>
  <si>
    <t>октябрь</t>
  </si>
  <si>
    <t>МЭС</t>
  </si>
  <si>
    <t>ГОД</t>
  </si>
  <si>
    <t>АО Электросеть</t>
  </si>
  <si>
    <t>ВСЕГО ООО ЦЭК</t>
  </si>
  <si>
    <t>корректировка_ноября и декабря_2019 года</t>
  </si>
  <si>
    <t xml:space="preserve">ГОД_факт_2020 </t>
  </si>
  <si>
    <t>Выставлено МЭС за 2020 год с учетом корректировки 2019 года</t>
  </si>
  <si>
    <t>,</t>
  </si>
  <si>
    <t>121,149,152</t>
  </si>
  <si>
    <t>191,192,232</t>
  </si>
  <si>
    <t>290,334,333,407</t>
  </si>
  <si>
    <t>444,445,454</t>
  </si>
  <si>
    <t>599,629,</t>
  </si>
  <si>
    <t>694,695,710,709</t>
  </si>
  <si>
    <t>750,795,814</t>
  </si>
  <si>
    <t>889,914,928</t>
  </si>
  <si>
    <t>983,1003,1018</t>
  </si>
  <si>
    <t>11,18,19.02.2020</t>
  </si>
  <si>
    <t>06,26,31.03.2020</t>
  </si>
  <si>
    <t>08,18,25.05.2020</t>
  </si>
  <si>
    <t>16,19,30.06.2020</t>
  </si>
  <si>
    <t>06,20.08.2020</t>
  </si>
  <si>
    <t>15,21.09.2020</t>
  </si>
  <si>
    <t>06,15,19.10.2020</t>
  </si>
  <si>
    <t>10,17,25.11.2020</t>
  </si>
  <si>
    <t>10,17,24.12.2020</t>
  </si>
  <si>
    <t>август_в_объеме норматива</t>
  </si>
  <si>
    <t>август_сверх_норматива</t>
  </si>
  <si>
    <t>сентябрь_в_объеме норматива</t>
  </si>
  <si>
    <t>сентябрь _сверх_норматива</t>
  </si>
  <si>
    <t>октябрь_в объеме_норматива</t>
  </si>
  <si>
    <t>октябрь_сверх_норматива</t>
  </si>
  <si>
    <t>ноябрь_в объеме_норматива</t>
  </si>
  <si>
    <t>ноябрь_сверх_норматива</t>
  </si>
  <si>
    <t>декабрь_в объеме_норматива</t>
  </si>
  <si>
    <t>декабрь_сверх_норматива</t>
  </si>
  <si>
    <t>август_в_объеме_норматива</t>
  </si>
  <si>
    <t>АО Мосэнергосбыт</t>
  </si>
  <si>
    <t>оплачено с НДС</t>
  </si>
  <si>
    <t>факт декабря 2020</t>
  </si>
  <si>
    <t>5</t>
  </si>
  <si>
    <t>окончательный расчет за декабрь</t>
  </si>
  <si>
    <t>32</t>
  </si>
  <si>
    <t>30 % за январь 2021</t>
  </si>
  <si>
    <t>40% за январь 2021</t>
  </si>
  <si>
    <t>103</t>
  </si>
  <si>
    <t>180</t>
  </si>
  <si>
    <t>30% за февраль</t>
  </si>
  <si>
    <t>40% за февраль</t>
  </si>
  <si>
    <t>223</t>
  </si>
  <si>
    <t>248</t>
  </si>
  <si>
    <t>30 % за март</t>
  </si>
  <si>
    <t>40% за март</t>
  </si>
  <si>
    <t>348</t>
  </si>
  <si>
    <t>окончательный расчет за март</t>
  </si>
  <si>
    <t>339</t>
  </si>
  <si>
    <t>367</t>
  </si>
  <si>
    <t>427</t>
  </si>
  <si>
    <t>30 % за апрель</t>
  </si>
  <si>
    <t>40 % за апрель</t>
  </si>
  <si>
    <t>окончательный расчет за прель</t>
  </si>
  <si>
    <t>30 % за май</t>
  </si>
  <si>
    <t>40 % за май</t>
  </si>
  <si>
    <t>407</t>
  </si>
  <si>
    <t>437</t>
  </si>
  <si>
    <t>нет акта, нет окончательного расчета</t>
  </si>
  <si>
    <t>переплата</t>
  </si>
  <si>
    <t>1156</t>
  </si>
  <si>
    <t>окончательный расчет с учетом переплаты -2 802 902,08 за ноябрь</t>
  </si>
  <si>
    <t>40 % аванс за декабрь</t>
  </si>
  <si>
    <t>1176</t>
  </si>
  <si>
    <t>26</t>
  </si>
  <si>
    <t xml:space="preserve">ГОД_факт_2021 </t>
  </si>
  <si>
    <t>оплачено без  НДС</t>
  </si>
  <si>
    <t>январь_в_объеме норматива</t>
  </si>
  <si>
    <t>январь_сверх_норматива</t>
  </si>
  <si>
    <t>февраль_в_объеме норматива</t>
  </si>
  <si>
    <t>февраль_сверх_норматива</t>
  </si>
  <si>
    <t>март_в_объеме норматива</t>
  </si>
  <si>
    <t>март_сверх_норматива</t>
  </si>
  <si>
    <t>апрель_в_объеме норматива</t>
  </si>
  <si>
    <t>апрель_сверх_норматива</t>
  </si>
  <si>
    <t>июль_в_объеме норматива</t>
  </si>
  <si>
    <t>июль_сверх_норматива</t>
  </si>
  <si>
    <t>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</si>
</sst>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000"/>
    <numFmt numFmtId="166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Franklin Gothic Book"/>
      <family val="2"/>
    </font>
    <font>
      <b/>
      <sz val="14"/>
      <color theme="1"/>
      <name val="Franklin Gothic Book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8"/>
      <name val="Calibri"/>
      <family val="2"/>
      <charset val="204"/>
      <scheme val="minor"/>
    </font>
    <font>
      <b/>
      <sz val="11"/>
      <color theme="1"/>
      <name val="Franklin Gothic Book"/>
      <family val="2"/>
    </font>
    <font>
      <b/>
      <sz val="11"/>
      <color rgb="FFFF0000"/>
      <name val="Franklin Gothic Book"/>
      <family val="2"/>
    </font>
    <font>
      <b/>
      <sz val="12"/>
      <color rgb="FFFF0000"/>
      <name val="Franklin Gothic Book"/>
      <family val="2"/>
    </font>
    <font>
      <b/>
      <sz val="11"/>
      <color theme="1"/>
      <name val="Franklin Gothic Book"/>
      <family val="2"/>
      <charset val="204"/>
    </font>
    <font>
      <i/>
      <sz val="11"/>
      <color theme="1"/>
      <name val="Franklin Gothic Book"/>
      <family val="2"/>
      <charset val="204"/>
    </font>
    <font>
      <b/>
      <i/>
      <sz val="14"/>
      <color theme="1"/>
      <name val="Franklin Gothic Book"/>
      <family val="2"/>
      <charset val="204"/>
    </font>
    <font>
      <sz val="11"/>
      <color rgb="FFFF0000"/>
      <name val="Franklin Gothic Book"/>
      <family val="2"/>
    </font>
    <font>
      <b/>
      <u/>
      <sz val="14"/>
      <color theme="1"/>
      <name val="Franklin Gothic Book"/>
      <family val="2"/>
    </font>
    <font>
      <sz val="9"/>
      <color theme="1"/>
      <name val="Franklin Gothic Book"/>
      <family val="2"/>
    </font>
    <font>
      <i/>
      <sz val="9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4" fontId="2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wrapText="1"/>
    </xf>
    <xf numFmtId="3" fontId="2" fillId="0" borderId="1" xfId="0" applyNumberFormat="1" applyFont="1" applyBorder="1"/>
    <xf numFmtId="4" fontId="2" fillId="0" borderId="1" xfId="1" applyNumberFormat="1" applyFont="1" applyBorder="1"/>
    <xf numFmtId="4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/>
    <xf numFmtId="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wrapText="1"/>
    </xf>
    <xf numFmtId="165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/>
    <xf numFmtId="4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0" fontId="11" fillId="0" borderId="0" xfId="0" applyFont="1" applyFill="1"/>
    <xf numFmtId="0" fontId="11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4" fontId="11" fillId="4" borderId="1" xfId="1" applyNumberFormat="1" applyFont="1" applyFill="1" applyBorder="1" applyAlignment="1">
      <alignment horizontal="right" vertical="center"/>
    </xf>
    <xf numFmtId="14" fontId="11" fillId="4" borderId="1" xfId="0" applyNumberFormat="1" applyFont="1" applyFill="1" applyBorder="1" applyAlignment="1">
      <alignment horizontal="right" vertical="center"/>
    </xf>
    <xf numFmtId="49" fontId="11" fillId="4" borderId="1" xfId="0" applyNumberFormat="1" applyFont="1" applyFill="1" applyBorder="1" applyAlignment="1">
      <alignment horizontal="right" vertical="center"/>
    </xf>
    <xf numFmtId="49" fontId="11" fillId="4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vertical="center" wrapText="1"/>
    </xf>
    <xf numFmtId="4" fontId="13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Fill="1"/>
    <xf numFmtId="4" fontId="15" fillId="0" borderId="0" xfId="0" applyNumberFormat="1" applyFont="1"/>
    <xf numFmtId="4" fontId="10" fillId="0" borderId="1" xfId="1" applyNumberFormat="1" applyFont="1" applyBorder="1" applyAlignment="1">
      <alignment vertical="center"/>
    </xf>
    <xf numFmtId="4" fontId="9" fillId="0" borderId="1" xfId="0" applyNumberFormat="1" applyFont="1" applyFill="1" applyBorder="1" applyAlignment="1">
      <alignment horizontal="right" wrapText="1"/>
    </xf>
    <xf numFmtId="4" fontId="7" fillId="5" borderId="1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tabSelected="1" topLeftCell="A116" workbookViewId="0">
      <selection activeCell="D141" sqref="D140:D141"/>
    </sheetView>
  </sheetViews>
  <sheetFormatPr defaultRowHeight="15.75" x14ac:dyDescent="0.3"/>
  <cols>
    <col min="1" max="1" width="9.140625" style="2"/>
    <col min="2" max="2" width="35.7109375" style="2" customWidth="1"/>
    <col min="3" max="3" width="16.28515625" style="2" customWidth="1"/>
    <col min="4" max="4" width="14.85546875" style="2" customWidth="1"/>
    <col min="5" max="5" width="17.28515625" style="2" customWidth="1"/>
    <col min="6" max="6" width="18.140625" style="2" customWidth="1"/>
    <col min="7" max="7" width="18.140625" style="2" hidden="1" customWidth="1"/>
    <col min="8" max="8" width="22.42578125" style="2" customWidth="1"/>
    <col min="9" max="9" width="21.42578125" style="2" customWidth="1"/>
    <col min="10" max="10" width="21.5703125" style="2" customWidth="1"/>
    <col min="11" max="11" width="24" style="2" customWidth="1"/>
    <col min="12" max="12" width="12.42578125" style="67" customWidth="1"/>
    <col min="13" max="22" width="9.140625" style="2"/>
    <col min="23" max="23" width="11.7109375" style="2" customWidth="1"/>
    <col min="24" max="24" width="13.85546875" style="2" customWidth="1"/>
    <col min="25" max="16384" width="9.140625" style="2"/>
  </cols>
  <sheetData>
    <row r="1" spans="2:12" s="1" customFormat="1" ht="49.5" customHeight="1" x14ac:dyDescent="0.25">
      <c r="B1" s="74" t="s">
        <v>15</v>
      </c>
      <c r="C1" s="74"/>
      <c r="D1" s="74"/>
      <c r="E1" s="74"/>
      <c r="F1" s="74"/>
      <c r="G1" s="74"/>
      <c r="H1" s="74"/>
      <c r="I1" s="74"/>
      <c r="J1" s="74"/>
      <c r="K1" s="74"/>
      <c r="L1" s="66"/>
    </row>
    <row r="2" spans="2:12" ht="57" hidden="1" customHeight="1" x14ac:dyDescent="0.3">
      <c r="B2" s="3">
        <v>2018</v>
      </c>
      <c r="C2" s="4" t="s">
        <v>20</v>
      </c>
      <c r="D2" s="4" t="s">
        <v>17</v>
      </c>
      <c r="E2" s="4" t="s">
        <v>0</v>
      </c>
      <c r="F2" s="4" t="s">
        <v>1</v>
      </c>
      <c r="G2" s="4"/>
      <c r="H2" s="4" t="s">
        <v>19</v>
      </c>
      <c r="I2" s="4" t="s">
        <v>13</v>
      </c>
      <c r="J2" s="4" t="s">
        <v>11</v>
      </c>
      <c r="K2" s="4" t="s">
        <v>18</v>
      </c>
    </row>
    <row r="3" spans="2:12" hidden="1" x14ac:dyDescent="0.3">
      <c r="B3" s="5" t="s">
        <v>12</v>
      </c>
      <c r="C3" s="6">
        <v>427305</v>
      </c>
      <c r="D3" s="7">
        <v>2.55402</v>
      </c>
      <c r="E3" s="8">
        <f>C3*D3*1.18</f>
        <v>1287787.7089979998</v>
      </c>
      <c r="F3" s="9">
        <v>250000</v>
      </c>
      <c r="G3" s="9"/>
      <c r="H3" s="9">
        <f>E3-F3</f>
        <v>1037787.7089979998</v>
      </c>
      <c r="I3" s="10">
        <v>43570</v>
      </c>
      <c r="J3" s="7">
        <v>128</v>
      </c>
      <c r="K3" s="11"/>
    </row>
    <row r="4" spans="2:12" hidden="1" x14ac:dyDescent="0.3">
      <c r="B4" s="5"/>
      <c r="C4" s="6"/>
      <c r="D4" s="7"/>
      <c r="E4" s="8"/>
      <c r="F4" s="9">
        <v>350000</v>
      </c>
      <c r="G4" s="9"/>
      <c r="H4" s="9">
        <f>H3-F4</f>
        <v>687787.70899799978</v>
      </c>
      <c r="I4" s="10">
        <v>43584</v>
      </c>
      <c r="J4" s="7">
        <v>178</v>
      </c>
      <c r="K4" s="11"/>
    </row>
    <row r="5" spans="2:12" hidden="1" x14ac:dyDescent="0.3">
      <c r="B5" s="5"/>
      <c r="C5" s="6"/>
      <c r="D5" s="7"/>
      <c r="E5" s="8"/>
      <c r="F5" s="9">
        <v>687787.71</v>
      </c>
      <c r="G5" s="9"/>
      <c r="H5" s="9">
        <f>H4-F5</f>
        <v>-1.0020001791417599E-3</v>
      </c>
      <c r="I5" s="10">
        <v>43601</v>
      </c>
      <c r="J5" s="7">
        <v>217</v>
      </c>
      <c r="K5" s="11"/>
    </row>
    <row r="6" spans="2:12" hidden="1" x14ac:dyDescent="0.3">
      <c r="B6" s="5" t="s">
        <v>14</v>
      </c>
      <c r="C6" s="6">
        <v>1333020</v>
      </c>
      <c r="D6" s="7">
        <v>2.3492099999999998</v>
      </c>
      <c r="E6" s="8">
        <f>C6*D6*1.18</f>
        <v>3695221.8187559992</v>
      </c>
      <c r="F6" s="9">
        <v>717181.06</v>
      </c>
      <c r="G6" s="9"/>
      <c r="H6" s="9">
        <f>E6-F6</f>
        <v>2978040.7587559992</v>
      </c>
      <c r="I6" s="10">
        <v>43584</v>
      </c>
      <c r="J6" s="7">
        <v>178</v>
      </c>
      <c r="K6" s="11"/>
    </row>
    <row r="7" spans="2:12" hidden="1" x14ac:dyDescent="0.3">
      <c r="B7" s="5"/>
      <c r="C7" s="6"/>
      <c r="D7" s="7"/>
      <c r="E7" s="8"/>
      <c r="F7" s="9">
        <v>500000</v>
      </c>
      <c r="G7" s="9"/>
      <c r="H7" s="9">
        <f>H6-F7</f>
        <v>2478040.7587559992</v>
      </c>
      <c r="I7" s="10">
        <v>43612</v>
      </c>
      <c r="J7" s="7">
        <v>227</v>
      </c>
      <c r="K7" s="11"/>
    </row>
    <row r="8" spans="2:12" hidden="1" x14ac:dyDescent="0.3">
      <c r="B8" s="5"/>
      <c r="C8" s="6"/>
      <c r="D8" s="7"/>
      <c r="E8" s="8"/>
      <c r="F8" s="9">
        <v>1000000</v>
      </c>
      <c r="G8" s="9"/>
      <c r="H8" s="9">
        <f>H7-F8</f>
        <v>1478040.7587559992</v>
      </c>
      <c r="I8" s="10">
        <v>43619</v>
      </c>
      <c r="J8" s="7">
        <v>244</v>
      </c>
      <c r="K8" s="11"/>
    </row>
    <row r="9" spans="2:12" hidden="1" x14ac:dyDescent="0.3">
      <c r="B9" s="5"/>
      <c r="C9" s="6"/>
      <c r="D9" s="7"/>
      <c r="E9" s="8"/>
      <c r="F9" s="9">
        <v>700000</v>
      </c>
      <c r="G9" s="9"/>
      <c r="H9" s="9">
        <f>H8-F9</f>
        <v>778040.75875599915</v>
      </c>
      <c r="I9" s="10">
        <v>43621</v>
      </c>
      <c r="J9" s="7">
        <v>252</v>
      </c>
      <c r="K9" s="11"/>
    </row>
    <row r="10" spans="2:12" hidden="1" x14ac:dyDescent="0.3">
      <c r="B10" s="5"/>
      <c r="C10" s="6"/>
      <c r="D10" s="7"/>
      <c r="E10" s="8"/>
      <c r="F10" s="9">
        <v>778040.75</v>
      </c>
      <c r="G10" s="9"/>
      <c r="H10" s="9">
        <f>H9-F10</f>
        <v>8.7559991516172886E-3</v>
      </c>
      <c r="I10" s="10">
        <v>43636</v>
      </c>
      <c r="J10" s="7">
        <v>306</v>
      </c>
      <c r="K10" s="11"/>
    </row>
    <row r="11" spans="2:12" hidden="1" x14ac:dyDescent="0.3">
      <c r="B11" s="5"/>
      <c r="C11" s="6">
        <v>-41126</v>
      </c>
      <c r="D11" s="7">
        <v>2.3492099999999998</v>
      </c>
      <c r="E11" s="8">
        <f>C11*D11*1.18</f>
        <v>-114004.06034279999</v>
      </c>
      <c r="F11" s="12">
        <v>0</v>
      </c>
      <c r="G11" s="12"/>
      <c r="H11" s="9">
        <f>E11-F11</f>
        <v>-114004.06034279999</v>
      </c>
      <c r="I11" s="7"/>
      <c r="J11" s="7"/>
      <c r="K11" s="11"/>
    </row>
    <row r="12" spans="2:12" hidden="1" x14ac:dyDescent="0.3">
      <c r="C12" s="13"/>
      <c r="D12" s="13"/>
      <c r="E12" s="14"/>
      <c r="F12" s="15"/>
      <c r="G12" s="15"/>
      <c r="H12" s="15"/>
      <c r="I12" s="13"/>
      <c r="J12" s="13"/>
      <c r="K12" s="16"/>
    </row>
    <row r="13" spans="2:12" ht="31.5" hidden="1" x14ac:dyDescent="0.3">
      <c r="B13" s="3">
        <v>2019</v>
      </c>
      <c r="C13" s="4" t="s">
        <v>16</v>
      </c>
      <c r="D13" s="4" t="s">
        <v>17</v>
      </c>
      <c r="E13" s="4" t="s">
        <v>0</v>
      </c>
      <c r="F13" s="4" t="s">
        <v>1</v>
      </c>
      <c r="G13" s="4"/>
      <c r="H13" s="4" t="s">
        <v>19</v>
      </c>
      <c r="I13" s="4" t="s">
        <v>13</v>
      </c>
      <c r="J13" s="4" t="s">
        <v>11</v>
      </c>
      <c r="K13" s="4" t="s">
        <v>18</v>
      </c>
    </row>
    <row r="14" spans="2:12" hidden="1" x14ac:dyDescent="0.3">
      <c r="B14" s="5" t="s">
        <v>2</v>
      </c>
      <c r="C14" s="17">
        <v>0</v>
      </c>
      <c r="D14" s="5"/>
      <c r="E14" s="18">
        <f>C14*D14*1.2</f>
        <v>0</v>
      </c>
      <c r="F14" s="19"/>
      <c r="G14" s="19"/>
      <c r="H14" s="19"/>
      <c r="I14" s="5"/>
      <c r="J14" s="5"/>
      <c r="K14" s="20"/>
    </row>
    <row r="15" spans="2:12" hidden="1" x14ac:dyDescent="0.3">
      <c r="B15" s="5" t="s">
        <v>3</v>
      </c>
      <c r="C15" s="17">
        <v>0</v>
      </c>
      <c r="D15" s="5"/>
      <c r="E15" s="18">
        <f t="shared" ref="E15:E24" si="0">C15*D15*1.2</f>
        <v>0</v>
      </c>
      <c r="F15" s="19"/>
      <c r="G15" s="19"/>
      <c r="H15" s="19"/>
      <c r="I15" s="5"/>
      <c r="J15" s="5"/>
      <c r="K15" s="20"/>
    </row>
    <row r="16" spans="2:12" hidden="1" x14ac:dyDescent="0.3">
      <c r="B16" s="5" t="s">
        <v>4</v>
      </c>
      <c r="C16" s="17">
        <v>124787</v>
      </c>
      <c r="D16" s="5">
        <v>2.56168</v>
      </c>
      <c r="E16" s="18">
        <f t="shared" si="0"/>
        <v>383597.23459200002</v>
      </c>
      <c r="F16" s="19">
        <v>383597.23</v>
      </c>
      <c r="G16" s="19"/>
      <c r="H16" s="19">
        <f>E16-F16</f>
        <v>4.5920000411570072E-3</v>
      </c>
      <c r="I16" s="21">
        <v>43602</v>
      </c>
      <c r="J16" s="5">
        <v>218</v>
      </c>
      <c r="K16" s="20"/>
    </row>
    <row r="17" spans="1:12" hidden="1" x14ac:dyDescent="0.3">
      <c r="B17" s="5" t="s">
        <v>5</v>
      </c>
      <c r="C17" s="17">
        <v>0</v>
      </c>
      <c r="D17" s="5"/>
      <c r="E17" s="18">
        <f t="shared" si="0"/>
        <v>0</v>
      </c>
      <c r="F17" s="19"/>
      <c r="G17" s="19"/>
      <c r="H17" s="19"/>
      <c r="I17" s="5"/>
      <c r="J17" s="5"/>
      <c r="K17" s="20"/>
    </row>
    <row r="18" spans="1:12" hidden="1" x14ac:dyDescent="0.3">
      <c r="B18" s="5" t="s">
        <v>6</v>
      </c>
      <c r="C18" s="17">
        <v>0</v>
      </c>
      <c r="D18" s="5"/>
      <c r="E18" s="18">
        <f t="shared" si="0"/>
        <v>0</v>
      </c>
      <c r="F18" s="19"/>
      <c r="G18" s="19"/>
      <c r="H18" s="19"/>
      <c r="I18" s="5"/>
      <c r="J18" s="5"/>
      <c r="K18" s="20"/>
    </row>
    <row r="19" spans="1:12" hidden="1" x14ac:dyDescent="0.3">
      <c r="B19" s="5" t="s">
        <v>7</v>
      </c>
      <c r="C19" s="17">
        <v>0</v>
      </c>
      <c r="D19" s="5"/>
      <c r="E19" s="18">
        <f t="shared" si="0"/>
        <v>0</v>
      </c>
      <c r="F19" s="19"/>
      <c r="G19" s="19"/>
      <c r="H19" s="19"/>
      <c r="I19" s="5"/>
      <c r="J19" s="5"/>
      <c r="K19" s="20"/>
    </row>
    <row r="20" spans="1:12" hidden="1" x14ac:dyDescent="0.3">
      <c r="B20" s="5" t="s">
        <v>8</v>
      </c>
      <c r="C20" s="17">
        <v>191712</v>
      </c>
      <c r="D20" s="5">
        <v>2.3728500000000001</v>
      </c>
      <c r="E20" s="18">
        <f t="shared" si="0"/>
        <v>545884.58304000006</v>
      </c>
      <c r="F20" s="19">
        <v>545884.58304000006</v>
      </c>
      <c r="G20" s="19"/>
      <c r="H20" s="19">
        <f>E20-F20</f>
        <v>0</v>
      </c>
      <c r="I20" s="21">
        <v>43704</v>
      </c>
      <c r="J20" s="5">
        <v>487</v>
      </c>
      <c r="K20" s="20"/>
    </row>
    <row r="21" spans="1:12" hidden="1" x14ac:dyDescent="0.3">
      <c r="B21" s="5" t="s">
        <v>9</v>
      </c>
      <c r="C21" s="17">
        <v>105250</v>
      </c>
      <c r="D21" s="5">
        <v>2.5239500000000001</v>
      </c>
      <c r="E21" s="18">
        <f t="shared" si="0"/>
        <v>318774.88499999995</v>
      </c>
      <c r="F21" s="19">
        <v>318774.89</v>
      </c>
      <c r="G21" s="19"/>
      <c r="H21" s="19">
        <f>E21-F21</f>
        <v>-5.0000000628642738E-3</v>
      </c>
      <c r="I21" s="21">
        <v>43728</v>
      </c>
      <c r="J21" s="5">
        <v>561</v>
      </c>
      <c r="K21" s="20"/>
    </row>
    <row r="22" spans="1:12" ht="13.5" hidden="1" customHeight="1" x14ac:dyDescent="0.3">
      <c r="B22" s="22" t="s">
        <v>10</v>
      </c>
      <c r="C22" s="23">
        <v>0</v>
      </c>
      <c r="D22" s="22"/>
      <c r="E22" s="24">
        <f t="shared" si="0"/>
        <v>0</v>
      </c>
      <c r="F22" s="19">
        <v>163765.38</v>
      </c>
      <c r="G22" s="19"/>
      <c r="H22" s="19">
        <f>E22-F22</f>
        <v>-163765.38</v>
      </c>
      <c r="I22" s="25">
        <v>43717</v>
      </c>
      <c r="J22" s="22">
        <v>506</v>
      </c>
      <c r="K22" s="26" t="s">
        <v>21</v>
      </c>
    </row>
    <row r="23" spans="1:12" hidden="1" x14ac:dyDescent="0.3">
      <c r="B23" s="22" t="s">
        <v>22</v>
      </c>
      <c r="C23" s="6">
        <v>0</v>
      </c>
      <c r="D23" s="5"/>
      <c r="E23" s="8">
        <f t="shared" si="0"/>
        <v>0</v>
      </c>
      <c r="F23" s="5"/>
      <c r="G23" s="5"/>
      <c r="H23" s="5"/>
      <c r="I23" s="5"/>
      <c r="J23" s="5"/>
      <c r="K23" s="5"/>
    </row>
    <row r="24" spans="1:12" hidden="1" x14ac:dyDescent="0.3">
      <c r="B24" s="22" t="s">
        <v>12</v>
      </c>
      <c r="C24" s="6">
        <v>0</v>
      </c>
      <c r="D24" s="5"/>
      <c r="E24" s="8">
        <f t="shared" si="0"/>
        <v>0</v>
      </c>
      <c r="F24" s="5"/>
      <c r="G24" s="5"/>
      <c r="H24" s="5"/>
      <c r="I24" s="5"/>
      <c r="J24" s="5"/>
      <c r="K24" s="5"/>
    </row>
    <row r="25" spans="1:12" hidden="1" x14ac:dyDescent="0.3">
      <c r="B25" s="22" t="s">
        <v>14</v>
      </c>
      <c r="C25" s="6">
        <v>0</v>
      </c>
      <c r="D25" s="5"/>
      <c r="E25" s="8">
        <f t="shared" ref="E25" si="1">C25*D25*1.2</f>
        <v>0</v>
      </c>
      <c r="F25" s="5"/>
      <c r="G25" s="5"/>
      <c r="H25" s="5"/>
      <c r="I25" s="5"/>
      <c r="J25" s="5"/>
      <c r="K25" s="5"/>
    </row>
    <row r="26" spans="1:12" hidden="1" x14ac:dyDescent="0.3">
      <c r="F26" s="27"/>
      <c r="G26" s="27"/>
    </row>
    <row r="27" spans="1:12" hidden="1" x14ac:dyDescent="0.3"/>
    <row r="28" spans="1:12" s="28" customFormat="1" ht="33" hidden="1" x14ac:dyDescent="0.3">
      <c r="B28" s="29">
        <v>2020</v>
      </c>
      <c r="C28" s="30" t="s">
        <v>16</v>
      </c>
      <c r="D28" s="30" t="s">
        <v>17</v>
      </c>
      <c r="E28" s="30" t="s">
        <v>0</v>
      </c>
      <c r="F28" s="30" t="s">
        <v>1</v>
      </c>
      <c r="G28" s="30"/>
      <c r="H28" s="30" t="s">
        <v>19</v>
      </c>
      <c r="I28" s="30" t="s">
        <v>13</v>
      </c>
      <c r="J28" s="30" t="s">
        <v>11</v>
      </c>
      <c r="K28" s="30" t="s">
        <v>18</v>
      </c>
      <c r="L28" s="67"/>
    </row>
    <row r="29" spans="1:12" s="28" customFormat="1" ht="16.5" hidden="1" x14ac:dyDescent="0.3">
      <c r="B29" s="43" t="s">
        <v>26</v>
      </c>
      <c r="C29" s="44">
        <f>C48+C70</f>
        <v>12357894</v>
      </c>
      <c r="D29" s="45">
        <f>(E29/C29)/1.2</f>
        <v>2.7762049291842663</v>
      </c>
      <c r="E29" s="44">
        <f>E48+E70</f>
        <v>41169655.484563999</v>
      </c>
      <c r="F29" s="44">
        <f>F48+F70</f>
        <v>42063029.080000006</v>
      </c>
      <c r="G29" s="44"/>
      <c r="H29" s="46"/>
      <c r="I29" s="46"/>
      <c r="J29" s="46"/>
      <c r="K29" s="46"/>
      <c r="L29" s="67"/>
    </row>
    <row r="30" spans="1:12" s="28" customFormat="1" ht="20.25" hidden="1" customHeight="1" x14ac:dyDescent="0.3">
      <c r="B30" s="75" t="s">
        <v>23</v>
      </c>
      <c r="C30" s="76"/>
      <c r="D30" s="76"/>
      <c r="E30" s="76"/>
      <c r="F30" s="76"/>
      <c r="G30" s="76"/>
      <c r="H30" s="76"/>
      <c r="I30" s="76"/>
      <c r="J30" s="76"/>
      <c r="K30" s="77"/>
      <c r="L30" s="67"/>
    </row>
    <row r="31" spans="1:12" ht="20.25" hidden="1" customHeight="1" x14ac:dyDescent="0.3">
      <c r="A31" s="2" t="s">
        <v>30</v>
      </c>
      <c r="B31" s="22" t="s">
        <v>2</v>
      </c>
      <c r="C31" s="23">
        <v>593045</v>
      </c>
      <c r="D31" s="22">
        <v>2.5561799999999999</v>
      </c>
      <c r="E31" s="24">
        <f>(C31*D31)*1.2</f>
        <v>1819115.72172</v>
      </c>
      <c r="F31" s="19">
        <f>536461.78</f>
        <v>536461.78</v>
      </c>
      <c r="G31" s="19"/>
      <c r="H31" s="19"/>
      <c r="I31" s="53">
        <v>43859</v>
      </c>
      <c r="J31" s="50">
        <v>75.760000000000005</v>
      </c>
      <c r="K31" s="39"/>
    </row>
    <row r="32" spans="1:12" ht="18" hidden="1" customHeight="1" x14ac:dyDescent="0.3">
      <c r="B32" s="22" t="s">
        <v>3</v>
      </c>
      <c r="C32" s="23">
        <v>114782</v>
      </c>
      <c r="D32" s="22">
        <v>2.8434200000000001</v>
      </c>
      <c r="E32" s="24">
        <f t="shared" ref="E32:E47" si="2">(C32*D32)*1.2</f>
        <v>391648.12132799998</v>
      </c>
      <c r="F32" s="19">
        <f>402346.33+300000+982653.94</f>
        <v>1685000.27</v>
      </c>
      <c r="G32" s="19"/>
      <c r="H32" s="19"/>
      <c r="I32" s="53" t="s">
        <v>40</v>
      </c>
      <c r="J32" s="50" t="s">
        <v>31</v>
      </c>
      <c r="K32" s="39"/>
    </row>
    <row r="33" spans="2:11" hidden="1" x14ac:dyDescent="0.3">
      <c r="B33" s="22" t="s">
        <v>4</v>
      </c>
      <c r="C33" s="23">
        <v>372536</v>
      </c>
      <c r="D33" s="22">
        <v>2.6308799999999999</v>
      </c>
      <c r="E33" s="24">
        <f t="shared" si="2"/>
        <v>1176117.0140159999</v>
      </c>
      <c r="F33" s="19">
        <f>545734.72+727646.29+156659.24</f>
        <v>1430040.25</v>
      </c>
      <c r="G33" s="19"/>
      <c r="H33" s="19"/>
      <c r="I33" s="53" t="s">
        <v>41</v>
      </c>
      <c r="J33" s="50" t="s">
        <v>32</v>
      </c>
      <c r="K33" s="39"/>
    </row>
    <row r="34" spans="2:11" hidden="1" x14ac:dyDescent="0.3">
      <c r="B34" s="22" t="s">
        <v>5</v>
      </c>
      <c r="C34" s="23">
        <v>283236</v>
      </c>
      <c r="D34" s="22">
        <v>2.6366800000000001</v>
      </c>
      <c r="E34" s="24">
        <f t="shared" si="2"/>
        <v>896163.23577600007</v>
      </c>
      <c r="F34" s="19">
        <f>117494.44+470446.8</f>
        <v>587941.24</v>
      </c>
      <c r="G34" s="19"/>
      <c r="H34" s="19"/>
      <c r="I34" s="53">
        <v>43928</v>
      </c>
      <c r="J34" s="51">
        <v>241.268</v>
      </c>
      <c r="K34" s="39"/>
    </row>
    <row r="35" spans="2:11" hidden="1" x14ac:dyDescent="0.3">
      <c r="B35" s="22" t="s">
        <v>6</v>
      </c>
      <c r="C35" s="23">
        <v>486431</v>
      </c>
      <c r="D35" s="22">
        <v>2.4862099999999998</v>
      </c>
      <c r="E35" s="24">
        <f t="shared" si="2"/>
        <v>1451243.5398119998</v>
      </c>
      <c r="F35" s="19">
        <f>352835.1+43600.55+117494.44+358465.3</f>
        <v>872395.3899999999</v>
      </c>
      <c r="G35" s="19"/>
      <c r="H35" s="19"/>
      <c r="I35" s="53" t="s">
        <v>42</v>
      </c>
      <c r="J35" s="50" t="s">
        <v>33</v>
      </c>
      <c r="K35" s="39"/>
    </row>
    <row r="36" spans="2:11" hidden="1" x14ac:dyDescent="0.3">
      <c r="B36" s="22" t="s">
        <v>7</v>
      </c>
      <c r="C36" s="32"/>
      <c r="D36" s="22">
        <v>2.67998</v>
      </c>
      <c r="E36" s="24">
        <f t="shared" si="2"/>
        <v>0</v>
      </c>
      <c r="F36" s="19">
        <f>580497.42+622448.7+268848.97</f>
        <v>1471795.09</v>
      </c>
      <c r="G36" s="19"/>
      <c r="H36" s="19"/>
      <c r="I36" s="53" t="s">
        <v>43</v>
      </c>
      <c r="J36" s="50" t="s">
        <v>34</v>
      </c>
      <c r="K36" s="39"/>
    </row>
    <row r="37" spans="2:11" hidden="1" x14ac:dyDescent="0.3">
      <c r="B37" s="22" t="s">
        <v>8</v>
      </c>
      <c r="C37" s="23">
        <v>545359</v>
      </c>
      <c r="D37" s="22">
        <v>2.7752599999999998</v>
      </c>
      <c r="E37" s="24">
        <f t="shared" si="2"/>
        <v>1816215.6220079998</v>
      </c>
      <c r="F37" s="19">
        <v>435373.06</v>
      </c>
      <c r="G37" s="19"/>
      <c r="H37" s="19"/>
      <c r="I37" s="53">
        <v>44014</v>
      </c>
      <c r="J37" s="50">
        <v>499</v>
      </c>
      <c r="K37" s="39"/>
    </row>
    <row r="38" spans="2:11" hidden="1" x14ac:dyDescent="0.3">
      <c r="B38" s="31" t="s">
        <v>59</v>
      </c>
      <c r="C38" s="23">
        <v>1003700</v>
      </c>
      <c r="D38" s="22">
        <v>2.9169499999999999</v>
      </c>
      <c r="E38" s="24">
        <f t="shared" si="2"/>
        <v>3513291.2579999999</v>
      </c>
      <c r="F38" s="19">
        <f>893373+531496.17</f>
        <v>1424869.17</v>
      </c>
      <c r="G38" s="19"/>
      <c r="H38" s="19"/>
      <c r="I38" s="53" t="s">
        <v>44</v>
      </c>
      <c r="J38" s="50" t="s">
        <v>35</v>
      </c>
      <c r="K38" s="39"/>
    </row>
    <row r="39" spans="2:11" hidden="1" x14ac:dyDescent="0.3">
      <c r="B39" s="26" t="s">
        <v>50</v>
      </c>
      <c r="C39" s="23">
        <v>50074</v>
      </c>
      <c r="D39" s="22">
        <v>2.8425600000000002</v>
      </c>
      <c r="E39" s="24">
        <f t="shared" si="2"/>
        <v>170806.01932800002</v>
      </c>
      <c r="F39" s="19"/>
      <c r="G39" s="19"/>
      <c r="H39" s="19"/>
      <c r="I39" s="53"/>
      <c r="J39" s="50"/>
      <c r="K39" s="39"/>
    </row>
    <row r="40" spans="2:11" hidden="1" x14ac:dyDescent="0.3">
      <c r="B40" s="26" t="s">
        <v>51</v>
      </c>
      <c r="C40" s="23">
        <v>1054000</v>
      </c>
      <c r="D40" s="22">
        <v>3.1183200000000002</v>
      </c>
      <c r="E40" s="24">
        <f t="shared" si="2"/>
        <v>3944051.1359999999</v>
      </c>
      <c r="F40" s="19">
        <f>531496.17+544864.69+1475426.92+3688567.28</f>
        <v>6240355.0599999996</v>
      </c>
      <c r="G40" s="19"/>
      <c r="H40" s="19"/>
      <c r="I40" s="53" t="s">
        <v>45</v>
      </c>
      <c r="J40" s="50" t="s">
        <v>36</v>
      </c>
      <c r="K40" s="39"/>
    </row>
    <row r="41" spans="2:11" hidden="1" x14ac:dyDescent="0.3">
      <c r="B41" s="34" t="s">
        <v>52</v>
      </c>
      <c r="C41" s="23">
        <v>269158</v>
      </c>
      <c r="D41" s="22">
        <v>3.04393</v>
      </c>
      <c r="E41" s="24">
        <f t="shared" si="2"/>
        <v>983157.73312800005</v>
      </c>
      <c r="F41" s="19"/>
      <c r="G41" s="19"/>
      <c r="H41" s="19"/>
      <c r="I41" s="53"/>
      <c r="J41" s="50"/>
      <c r="K41" s="39"/>
    </row>
    <row r="42" spans="2:11" hidden="1" x14ac:dyDescent="0.3">
      <c r="B42" s="26" t="s">
        <v>53</v>
      </c>
      <c r="C42" s="33">
        <v>1104400</v>
      </c>
      <c r="D42" s="22">
        <v>2.90666</v>
      </c>
      <c r="E42" s="24">
        <f t="shared" si="2"/>
        <v>3852138.3647999996</v>
      </c>
      <c r="F42" s="38">
        <f>1106570.18+2375421.69+1970883.54</f>
        <v>5452875.4100000001</v>
      </c>
      <c r="G42" s="38"/>
      <c r="H42" s="38"/>
      <c r="I42" s="53" t="s">
        <v>46</v>
      </c>
      <c r="J42" s="50" t="s">
        <v>37</v>
      </c>
      <c r="K42" s="38"/>
    </row>
    <row r="43" spans="2:11" hidden="1" x14ac:dyDescent="0.3">
      <c r="B43" s="26" t="s">
        <v>54</v>
      </c>
      <c r="C43" s="33">
        <v>344219</v>
      </c>
      <c r="D43" s="22">
        <v>2.8322699999999998</v>
      </c>
      <c r="E43" s="24">
        <f t="shared" si="2"/>
        <v>1169905.376556</v>
      </c>
      <c r="F43" s="38"/>
      <c r="G43" s="38"/>
      <c r="H43" s="38"/>
      <c r="I43" s="53"/>
      <c r="J43" s="50"/>
      <c r="K43" s="38"/>
    </row>
    <row r="44" spans="2:11" hidden="1" x14ac:dyDescent="0.3">
      <c r="B44" s="26" t="s">
        <v>55</v>
      </c>
      <c r="C44" s="33">
        <v>1205100</v>
      </c>
      <c r="D44" s="22">
        <v>2.87568</v>
      </c>
      <c r="E44" s="24">
        <f t="shared" si="2"/>
        <v>4158578.3615999995</v>
      </c>
      <c r="F44" s="38">
        <f>1478162.66+1944589.42+2008817.49</f>
        <v>5431569.5700000003</v>
      </c>
      <c r="G44" s="38"/>
      <c r="H44" s="38"/>
      <c r="I44" s="53" t="s">
        <v>47</v>
      </c>
      <c r="J44" s="50" t="s">
        <v>38</v>
      </c>
      <c r="K44" s="38"/>
    </row>
    <row r="45" spans="2:11" hidden="1" x14ac:dyDescent="0.3">
      <c r="B45" s="26" t="s">
        <v>56</v>
      </c>
      <c r="C45" s="33">
        <v>709791</v>
      </c>
      <c r="D45" s="22">
        <v>2.8012899999999998</v>
      </c>
      <c r="E45" s="24">
        <f t="shared" si="2"/>
        <v>2385996.5164679997</v>
      </c>
      <c r="F45" s="38"/>
      <c r="G45" s="38"/>
      <c r="H45" s="38"/>
      <c r="I45" s="53"/>
      <c r="J45" s="50"/>
      <c r="K45" s="38"/>
    </row>
    <row r="46" spans="2:11" ht="15.75" hidden="1" customHeight="1" x14ac:dyDescent="0.3">
      <c r="B46" s="26" t="s">
        <v>57</v>
      </c>
      <c r="C46" s="33">
        <v>1308800</v>
      </c>
      <c r="D46" s="22">
        <v>2.68289</v>
      </c>
      <c r="E46" s="24">
        <f t="shared" si="2"/>
        <v>4213639.7183999997</v>
      </c>
      <c r="F46" s="38">
        <f>1506613.12+3053125.33+2617829.95+4497222.54</f>
        <v>11674790.940000001</v>
      </c>
      <c r="G46" s="38"/>
      <c r="H46" s="38"/>
      <c r="I46" s="53" t="s">
        <v>48</v>
      </c>
      <c r="J46" s="50" t="s">
        <v>39</v>
      </c>
      <c r="K46" s="38"/>
    </row>
    <row r="47" spans="2:11" ht="15.75" hidden="1" customHeight="1" x14ac:dyDescent="0.3">
      <c r="B47" s="26" t="s">
        <v>58</v>
      </c>
      <c r="C47" s="33">
        <v>1408225</v>
      </c>
      <c r="D47" s="22">
        <v>2.6084999999999998</v>
      </c>
      <c r="E47" s="24">
        <f t="shared" si="2"/>
        <v>4408025.8949999996</v>
      </c>
      <c r="F47" s="38"/>
      <c r="G47" s="38"/>
      <c r="H47" s="38"/>
      <c r="I47" s="53"/>
      <c r="J47" s="50"/>
      <c r="K47" s="38"/>
    </row>
    <row r="48" spans="2:11" hidden="1" x14ac:dyDescent="0.3">
      <c r="B48" s="35" t="s">
        <v>28</v>
      </c>
      <c r="C48" s="36">
        <f>SUM(C31:C47)</f>
        <v>10852856</v>
      </c>
      <c r="D48" s="37">
        <f>(E48/C48)/1.2</f>
        <v>2.7911311727484449</v>
      </c>
      <c r="E48" s="36">
        <f>SUM(E31:E47)</f>
        <v>36350093.633939996</v>
      </c>
      <c r="F48" s="36">
        <f>SUM(F31:F47)</f>
        <v>37243467.230000004</v>
      </c>
      <c r="G48" s="36"/>
      <c r="H48" s="40"/>
      <c r="I48" s="53"/>
      <c r="J48" s="52"/>
      <c r="K48" s="40"/>
    </row>
    <row r="49" spans="2:12" ht="31.5" hidden="1" x14ac:dyDescent="0.3">
      <c r="B49" s="41" t="s">
        <v>27</v>
      </c>
      <c r="C49" s="36"/>
      <c r="D49" s="37"/>
      <c r="E49" s="42">
        <f>589444.64+303928.96</f>
        <v>893373.60000000009</v>
      </c>
      <c r="F49" s="42"/>
      <c r="G49" s="42"/>
      <c r="H49" s="40"/>
      <c r="I49" s="53"/>
      <c r="J49" s="52"/>
      <c r="K49" s="40"/>
    </row>
    <row r="50" spans="2:12" ht="47.25" hidden="1" x14ac:dyDescent="0.3">
      <c r="B50" s="41" t="s">
        <v>29</v>
      </c>
      <c r="C50" s="36"/>
      <c r="D50" s="36"/>
      <c r="E50" s="36">
        <f>F48</f>
        <v>37243467.230000004</v>
      </c>
      <c r="F50" s="36"/>
      <c r="G50" s="36"/>
      <c r="H50" s="40"/>
      <c r="I50" s="25"/>
      <c r="J50" s="40"/>
      <c r="K50" s="40"/>
    </row>
    <row r="51" spans="2:12" s="1" customFormat="1" ht="26.25" hidden="1" customHeight="1" x14ac:dyDescent="0.25">
      <c r="B51" s="78" t="s">
        <v>25</v>
      </c>
      <c r="C51" s="79"/>
      <c r="D51" s="79"/>
      <c r="E51" s="79"/>
      <c r="F51" s="79"/>
      <c r="G51" s="79"/>
      <c r="H51" s="79"/>
      <c r="I51" s="79"/>
      <c r="J51" s="79"/>
      <c r="K51" s="80"/>
      <c r="L51" s="66"/>
    </row>
    <row r="52" spans="2:12" s="47" customFormat="1" ht="43.5" hidden="1" customHeight="1" x14ac:dyDescent="0.3">
      <c r="B52" s="48">
        <v>2020</v>
      </c>
      <c r="C52" s="30" t="s">
        <v>16</v>
      </c>
      <c r="D52" s="30" t="s">
        <v>17</v>
      </c>
      <c r="E52" s="30" t="s">
        <v>0</v>
      </c>
      <c r="F52" s="30" t="s">
        <v>1</v>
      </c>
      <c r="G52" s="30"/>
      <c r="H52" s="30" t="s">
        <v>19</v>
      </c>
      <c r="I52" s="30" t="s">
        <v>13</v>
      </c>
      <c r="J52" s="30" t="s">
        <v>11</v>
      </c>
      <c r="K52" s="30" t="s">
        <v>18</v>
      </c>
      <c r="L52" s="68"/>
    </row>
    <row r="53" spans="2:12" hidden="1" x14ac:dyDescent="0.3">
      <c r="B53" s="22" t="s">
        <v>2</v>
      </c>
      <c r="C53" s="22">
        <v>36903</v>
      </c>
      <c r="D53" s="22">
        <v>2.47715</v>
      </c>
      <c r="E53" s="24">
        <f>(C53*D53)*1.2</f>
        <v>109697.11973999999</v>
      </c>
      <c r="F53" s="22"/>
      <c r="G53" s="22"/>
      <c r="H53" s="22"/>
      <c r="I53" s="22"/>
      <c r="J53" s="22"/>
      <c r="K53" s="22"/>
    </row>
    <row r="54" spans="2:12" hidden="1" x14ac:dyDescent="0.3">
      <c r="B54" s="22" t="s">
        <v>3</v>
      </c>
      <c r="C54" s="22">
        <v>2994</v>
      </c>
      <c r="D54" s="22">
        <v>2.7492800000000002</v>
      </c>
      <c r="E54" s="24">
        <f t="shared" ref="E54:E69" si="3">(C54*D54)*1.2</f>
        <v>9877.6131839999998</v>
      </c>
      <c r="F54" s="38">
        <f>76787.69+109697.12</f>
        <v>186484.81</v>
      </c>
      <c r="G54" s="38"/>
      <c r="H54" s="22"/>
      <c r="I54" s="25">
        <v>43879</v>
      </c>
      <c r="J54" s="22">
        <v>150.15100000000001</v>
      </c>
      <c r="K54" s="22"/>
    </row>
    <row r="55" spans="2:12" hidden="1" x14ac:dyDescent="0.3">
      <c r="B55" s="22" t="s">
        <v>4</v>
      </c>
      <c r="C55" s="22">
        <v>13309</v>
      </c>
      <c r="D55" s="22">
        <v>2.51573</v>
      </c>
      <c r="E55" s="24">
        <f t="shared" si="3"/>
        <v>40178.220684</v>
      </c>
      <c r="F55" s="38">
        <v>9877.61</v>
      </c>
      <c r="G55" s="38"/>
      <c r="H55" s="22"/>
      <c r="I55" s="25">
        <v>43908</v>
      </c>
      <c r="J55" s="22">
        <v>211</v>
      </c>
      <c r="K55" s="22"/>
    </row>
    <row r="56" spans="2:12" hidden="1" x14ac:dyDescent="0.3">
      <c r="B56" s="22" t="s">
        <v>5</v>
      </c>
      <c r="C56" s="22">
        <v>7572</v>
      </c>
      <c r="D56" s="22">
        <v>2.52786</v>
      </c>
      <c r="E56" s="24">
        <f t="shared" si="3"/>
        <v>22969.147104</v>
      </c>
      <c r="F56" s="38">
        <v>40178.22</v>
      </c>
      <c r="G56" s="38"/>
      <c r="H56" s="22"/>
      <c r="I56" s="25">
        <v>43942</v>
      </c>
      <c r="J56" s="22">
        <v>267</v>
      </c>
      <c r="K56" s="22"/>
    </row>
    <row r="57" spans="2:12" hidden="1" x14ac:dyDescent="0.3">
      <c r="B57" s="22" t="s">
        <v>6</v>
      </c>
      <c r="C57" s="22">
        <v>24402</v>
      </c>
      <c r="D57" s="22">
        <v>2.2987099999999998</v>
      </c>
      <c r="E57" s="24">
        <f>(C57*D57)*1.2-0.01</f>
        <v>67311.735703999992</v>
      </c>
      <c r="F57" s="38">
        <v>0</v>
      </c>
      <c r="G57" s="38"/>
      <c r="H57" s="22"/>
      <c r="I57" s="22"/>
      <c r="J57" s="22"/>
      <c r="K57" s="22"/>
    </row>
    <row r="58" spans="2:12" hidden="1" x14ac:dyDescent="0.3">
      <c r="B58" s="22" t="s">
        <v>7</v>
      </c>
      <c r="C58" s="22">
        <v>20120</v>
      </c>
      <c r="D58" s="22">
        <v>2.4590299999999998</v>
      </c>
      <c r="E58" s="24">
        <f t="shared" si="3"/>
        <v>59370.820319999992</v>
      </c>
      <c r="F58" s="38">
        <v>13493.2</v>
      </c>
      <c r="G58" s="38"/>
      <c r="H58" s="22"/>
      <c r="I58" s="25">
        <v>43998</v>
      </c>
      <c r="J58" s="22">
        <v>443</v>
      </c>
      <c r="K58" s="22"/>
    </row>
    <row r="59" spans="2:12" hidden="1" x14ac:dyDescent="0.3">
      <c r="B59" s="22" t="s">
        <v>8</v>
      </c>
      <c r="C59" s="22">
        <v>64024</v>
      </c>
      <c r="D59" s="22">
        <v>2.4768599999999998</v>
      </c>
      <c r="E59" s="24">
        <f t="shared" si="3"/>
        <v>190294.18156799997</v>
      </c>
      <c r="F59" s="38">
        <v>59370.82</v>
      </c>
      <c r="G59" s="38"/>
      <c r="H59" s="22"/>
      <c r="I59" s="25">
        <v>44029</v>
      </c>
      <c r="J59" s="22">
        <v>537</v>
      </c>
      <c r="K59" s="22"/>
    </row>
    <row r="60" spans="2:12" hidden="1" x14ac:dyDescent="0.3">
      <c r="B60" s="31" t="s">
        <v>49</v>
      </c>
      <c r="C60" s="22">
        <v>93800</v>
      </c>
      <c r="D60" s="22">
        <v>2.7224300000000001</v>
      </c>
      <c r="E60" s="24">
        <f t="shared" si="3"/>
        <v>306436.72080000001</v>
      </c>
      <c r="F60" s="38">
        <v>190294.18</v>
      </c>
      <c r="G60" s="38"/>
      <c r="H60" s="22"/>
      <c r="I60" s="25">
        <v>44063</v>
      </c>
      <c r="J60" s="22">
        <v>626</v>
      </c>
      <c r="K60" s="22"/>
    </row>
    <row r="61" spans="2:12" hidden="1" x14ac:dyDescent="0.3">
      <c r="B61" s="26" t="s">
        <v>50</v>
      </c>
      <c r="C61" s="22">
        <v>54160</v>
      </c>
      <c r="D61" s="22">
        <v>2.74092</v>
      </c>
      <c r="E61" s="24">
        <f t="shared" si="3"/>
        <v>178137.87263999999</v>
      </c>
      <c r="F61" s="38"/>
      <c r="G61" s="38"/>
      <c r="H61" s="22"/>
      <c r="I61" s="22"/>
      <c r="J61" s="22"/>
      <c r="K61" s="22"/>
    </row>
    <row r="62" spans="2:12" hidden="1" x14ac:dyDescent="0.3">
      <c r="B62" s="26" t="s">
        <v>51</v>
      </c>
      <c r="C62" s="22">
        <v>98500</v>
      </c>
      <c r="D62" s="22">
        <v>2.9535399999999998</v>
      </c>
      <c r="E62" s="24">
        <f t="shared" si="3"/>
        <v>349108.42800000001</v>
      </c>
      <c r="F62" s="38">
        <f>190294.18+484574.6</f>
        <v>674868.78</v>
      </c>
      <c r="G62" s="38"/>
      <c r="H62" s="22"/>
      <c r="I62" s="25">
        <v>44089</v>
      </c>
      <c r="J62" s="22">
        <v>692.69299999999998</v>
      </c>
      <c r="K62" s="22"/>
    </row>
    <row r="63" spans="2:12" hidden="1" x14ac:dyDescent="0.3">
      <c r="B63" s="34" t="s">
        <v>52</v>
      </c>
      <c r="C63" s="22">
        <v>13459</v>
      </c>
      <c r="D63" s="22">
        <v>2.9720300000000002</v>
      </c>
      <c r="E63" s="24">
        <f t="shared" si="3"/>
        <v>48000.662124000002</v>
      </c>
      <c r="F63" s="38"/>
      <c r="G63" s="38"/>
      <c r="H63" s="22"/>
      <c r="I63" s="22"/>
      <c r="J63" s="22"/>
      <c r="K63" s="22"/>
    </row>
    <row r="64" spans="2:12" hidden="1" x14ac:dyDescent="0.3">
      <c r="B64" s="26" t="s">
        <v>53</v>
      </c>
      <c r="C64" s="22">
        <v>103200</v>
      </c>
      <c r="D64" s="22">
        <v>2.7205499999999998</v>
      </c>
      <c r="E64" s="24">
        <f t="shared" si="3"/>
        <v>336912.91199999995</v>
      </c>
      <c r="F64" s="38">
        <v>206814.91</v>
      </c>
      <c r="G64" s="38"/>
      <c r="H64" s="22"/>
      <c r="I64" s="25">
        <v>44119</v>
      </c>
      <c r="J64" s="22">
        <v>796</v>
      </c>
      <c r="K64" s="22"/>
    </row>
    <row r="65" spans="2:12" hidden="1" x14ac:dyDescent="0.3">
      <c r="B65" s="26" t="s">
        <v>54</v>
      </c>
      <c r="C65" s="22">
        <v>133064</v>
      </c>
      <c r="D65" s="22">
        <v>2.7390400000000001</v>
      </c>
      <c r="E65" s="24">
        <f t="shared" si="3"/>
        <v>437361.14227200003</v>
      </c>
      <c r="F65" s="38"/>
      <c r="G65" s="38"/>
      <c r="H65" s="22"/>
      <c r="I65" s="22"/>
      <c r="J65" s="22"/>
      <c r="K65" s="22"/>
    </row>
    <row r="66" spans="2:12" hidden="1" x14ac:dyDescent="0.3">
      <c r="B66" s="26" t="s">
        <v>55</v>
      </c>
      <c r="C66" s="22">
        <v>112700</v>
      </c>
      <c r="D66" s="22">
        <v>2.7215799999999999</v>
      </c>
      <c r="E66" s="24">
        <f t="shared" si="3"/>
        <v>368066.4792</v>
      </c>
      <c r="F66" s="38">
        <v>774274.05</v>
      </c>
      <c r="G66" s="38"/>
      <c r="H66" s="22"/>
      <c r="I66" s="25">
        <v>44151</v>
      </c>
      <c r="J66" s="22">
        <v>911</v>
      </c>
      <c r="K66" s="22"/>
    </row>
    <row r="67" spans="2:12" hidden="1" x14ac:dyDescent="0.3">
      <c r="B67" s="26" t="s">
        <v>56</v>
      </c>
      <c r="C67" s="22">
        <v>424901</v>
      </c>
      <c r="D67" s="22">
        <v>2.7400699999999998</v>
      </c>
      <c r="E67" s="24">
        <f t="shared" si="3"/>
        <v>1397110.1796839999</v>
      </c>
      <c r="F67" s="38"/>
      <c r="G67" s="38"/>
      <c r="H67" s="22"/>
      <c r="I67" s="22"/>
      <c r="J67" s="22"/>
      <c r="K67" s="22"/>
    </row>
    <row r="68" spans="2:12" hidden="1" x14ac:dyDescent="0.3">
      <c r="B68" s="26" t="s">
        <v>57</v>
      </c>
      <c r="C68" s="22">
        <v>122300</v>
      </c>
      <c r="D68" s="22">
        <v>2.4695100000000001</v>
      </c>
      <c r="E68" s="24">
        <f t="shared" si="3"/>
        <v>362425.28760000004</v>
      </c>
      <c r="F68" s="38">
        <f>1765176.66+898728.61</f>
        <v>2663905.27</v>
      </c>
      <c r="G68" s="38"/>
      <c r="H68" s="22"/>
      <c r="I68" s="25">
        <v>44180</v>
      </c>
      <c r="J68" s="22">
        <v>996</v>
      </c>
      <c r="K68" s="22"/>
    </row>
    <row r="69" spans="2:12" hidden="1" x14ac:dyDescent="0.3">
      <c r="B69" s="26" t="s">
        <v>58</v>
      </c>
      <c r="C69" s="22">
        <v>179630</v>
      </c>
      <c r="D69" s="22">
        <v>2.488</v>
      </c>
      <c r="E69" s="24">
        <f t="shared" si="3"/>
        <v>536303.32799999998</v>
      </c>
      <c r="F69" s="38"/>
      <c r="G69" s="38"/>
      <c r="H69" s="22"/>
      <c r="I69" s="22"/>
      <c r="J69" s="22"/>
      <c r="K69" s="22"/>
    </row>
    <row r="70" spans="2:12" hidden="1" x14ac:dyDescent="0.3">
      <c r="B70" s="35" t="s">
        <v>24</v>
      </c>
      <c r="C70" s="36">
        <f>SUM(C53:C69)</f>
        <v>1505038</v>
      </c>
      <c r="D70" s="37">
        <f>(E70/C70)/1.2</f>
        <v>2.668571519248462</v>
      </c>
      <c r="E70" s="40">
        <f>SUM(E53:E69)</f>
        <v>4819561.8506239997</v>
      </c>
      <c r="F70" s="40">
        <f>SUM(F53:F69)</f>
        <v>4819561.8499999996</v>
      </c>
      <c r="G70" s="40"/>
      <c r="H70" s="49"/>
      <c r="I70" s="5"/>
      <c r="J70" s="5"/>
      <c r="K70" s="5"/>
    </row>
    <row r="72" spans="2:12" ht="33" x14ac:dyDescent="0.3">
      <c r="B72" s="29">
        <v>2021</v>
      </c>
      <c r="C72" s="30" t="s">
        <v>16</v>
      </c>
      <c r="D72" s="30" t="s">
        <v>17</v>
      </c>
      <c r="E72" s="30" t="s">
        <v>0</v>
      </c>
      <c r="F72" s="30" t="s">
        <v>61</v>
      </c>
      <c r="G72" s="30" t="s">
        <v>107</v>
      </c>
      <c r="H72" s="30" t="s">
        <v>96</v>
      </c>
      <c r="I72" s="30" t="s">
        <v>13</v>
      </c>
      <c r="J72" s="30" t="s">
        <v>11</v>
      </c>
      <c r="K72" s="30" t="s">
        <v>18</v>
      </c>
    </row>
    <row r="73" spans="2:12" ht="16.5" x14ac:dyDescent="0.3">
      <c r="B73" s="43" t="s">
        <v>26</v>
      </c>
      <c r="C73" s="44">
        <f>C99+C132</f>
        <v>9648863</v>
      </c>
      <c r="D73" s="45">
        <f>(E73/C73)/1.2</f>
        <v>2.8314936906196446</v>
      </c>
      <c r="E73" s="44">
        <f>E99+E132</f>
        <v>32784833.647384003</v>
      </c>
      <c r="F73" s="44">
        <f>F99+F132</f>
        <v>32784833.649999999</v>
      </c>
      <c r="G73" s="44"/>
      <c r="H73" s="72">
        <f>H99+H132</f>
        <v>27320694.719999999</v>
      </c>
      <c r="I73" s="46"/>
      <c r="J73" s="46"/>
      <c r="K73" s="46"/>
    </row>
    <row r="74" spans="2:12" ht="19.5" x14ac:dyDescent="0.3">
      <c r="B74" s="75" t="s">
        <v>60</v>
      </c>
      <c r="C74" s="76"/>
      <c r="D74" s="76"/>
      <c r="E74" s="76"/>
      <c r="F74" s="76"/>
      <c r="G74" s="76"/>
      <c r="H74" s="76"/>
      <c r="I74" s="76"/>
      <c r="J74" s="76"/>
      <c r="K74" s="77"/>
    </row>
    <row r="75" spans="2:12" s="56" customFormat="1" ht="28.5" x14ac:dyDescent="0.2">
      <c r="B75" s="57" t="s">
        <v>62</v>
      </c>
      <c r="C75" s="58"/>
      <c r="D75" s="58"/>
      <c r="E75" s="58"/>
      <c r="F75" s="59">
        <v>4497222.54</v>
      </c>
      <c r="G75" s="59"/>
      <c r="H75" s="58"/>
      <c r="I75" s="60">
        <v>44214</v>
      </c>
      <c r="J75" s="61">
        <v>22</v>
      </c>
      <c r="K75" s="62" t="s">
        <v>64</v>
      </c>
      <c r="L75" s="69"/>
    </row>
    <row r="76" spans="2:12" x14ac:dyDescent="0.3">
      <c r="B76" s="22" t="s">
        <v>2</v>
      </c>
      <c r="C76" s="23">
        <v>1508123</v>
      </c>
      <c r="D76" s="22">
        <v>2.8380000000000001</v>
      </c>
      <c r="E76" s="24">
        <f>(C76*D76)*1.2</f>
        <v>5136063.6887999997</v>
      </c>
      <c r="F76" s="19">
        <v>1963372.47</v>
      </c>
      <c r="G76" s="19">
        <v>327228.75</v>
      </c>
      <c r="H76" s="19">
        <f>ROUND(F76/1.2,2)</f>
        <v>1636143.73</v>
      </c>
      <c r="I76" s="53">
        <v>44207</v>
      </c>
      <c r="J76" s="54" t="s">
        <v>63</v>
      </c>
      <c r="K76" s="39" t="s">
        <v>66</v>
      </c>
      <c r="L76" s="70">
        <f>E76/1.2</f>
        <v>4280053.074</v>
      </c>
    </row>
    <row r="77" spans="2:12" x14ac:dyDescent="0.3">
      <c r="B77" s="22"/>
      <c r="C77" s="23"/>
      <c r="D77" s="22"/>
      <c r="E77" s="24"/>
      <c r="F77" s="19">
        <v>3448666.24</v>
      </c>
      <c r="G77" s="19">
        <v>574777.78</v>
      </c>
      <c r="H77" s="19">
        <f t="shared" ref="H77:H96" si="4">ROUND(F77/1.2,2)</f>
        <v>2873888.53</v>
      </c>
      <c r="I77" s="53">
        <v>44221</v>
      </c>
      <c r="J77" s="54" t="s">
        <v>65</v>
      </c>
      <c r="K77" s="39" t="s">
        <v>67</v>
      </c>
      <c r="L77" s="70">
        <f t="shared" ref="L77:L96" si="5">E77/1.2</f>
        <v>0</v>
      </c>
    </row>
    <row r="78" spans="2:12" x14ac:dyDescent="0.3">
      <c r="B78" s="22" t="s">
        <v>3</v>
      </c>
      <c r="C78" s="23">
        <v>1262872</v>
      </c>
      <c r="D78" s="22">
        <v>2.9833799999999999</v>
      </c>
      <c r="E78" s="24">
        <f>(C78*D78)*1.2</f>
        <v>4521152.4808319993</v>
      </c>
      <c r="F78" s="19">
        <v>2586499.6800000002</v>
      </c>
      <c r="G78" s="19">
        <v>342404.25</v>
      </c>
      <c r="H78" s="19">
        <f t="shared" si="4"/>
        <v>2155416.4</v>
      </c>
      <c r="I78" s="53">
        <v>44236</v>
      </c>
      <c r="J78" s="54" t="s">
        <v>68</v>
      </c>
      <c r="K78" s="39" t="s">
        <v>70</v>
      </c>
      <c r="L78" s="70">
        <f t="shared" si="5"/>
        <v>3767627.0673599998</v>
      </c>
    </row>
    <row r="79" spans="2:12" x14ac:dyDescent="0.3">
      <c r="B79" s="22"/>
      <c r="C79" s="23"/>
      <c r="D79" s="22"/>
      <c r="E79" s="24"/>
      <c r="F79" s="19">
        <v>2054425.48</v>
      </c>
      <c r="G79" s="19">
        <v>431083.28</v>
      </c>
      <c r="H79" s="19">
        <f t="shared" si="4"/>
        <v>1712021.23</v>
      </c>
      <c r="I79" s="53">
        <v>44252</v>
      </c>
      <c r="J79" s="54" t="s">
        <v>69</v>
      </c>
      <c r="K79" s="39" t="s">
        <v>71</v>
      </c>
      <c r="L79" s="70">
        <f t="shared" si="5"/>
        <v>0</v>
      </c>
    </row>
    <row r="80" spans="2:12" x14ac:dyDescent="0.3">
      <c r="B80" s="22" t="s">
        <v>4</v>
      </c>
      <c r="C80" s="23">
        <v>1300268</v>
      </c>
      <c r="D80" s="22">
        <v>2.82368</v>
      </c>
      <c r="E80" s="24">
        <f t="shared" ref="E80:E98" si="6">(C80*D80)*1.2</f>
        <v>4405848.8954879995</v>
      </c>
      <c r="F80" s="19">
        <v>1540819.1</v>
      </c>
      <c r="G80" s="19">
        <v>256803.18</v>
      </c>
      <c r="H80" s="19">
        <f t="shared" si="4"/>
        <v>1284015.92</v>
      </c>
      <c r="I80" s="53">
        <v>44265</v>
      </c>
      <c r="J80" s="54" t="s">
        <v>72</v>
      </c>
      <c r="K80" s="39" t="s">
        <v>74</v>
      </c>
      <c r="L80" s="70">
        <f t="shared" si="5"/>
        <v>3671540.7462399998</v>
      </c>
    </row>
    <row r="81" spans="2:12" x14ac:dyDescent="0.3">
      <c r="B81" s="22"/>
      <c r="C81" s="23"/>
      <c r="D81" s="22"/>
      <c r="E81" s="24"/>
      <c r="F81" s="19">
        <v>1808461</v>
      </c>
      <c r="G81" s="19">
        <v>301410.17</v>
      </c>
      <c r="H81" s="19">
        <f t="shared" si="4"/>
        <v>1507050.83</v>
      </c>
      <c r="I81" s="53">
        <v>44280</v>
      </c>
      <c r="J81" s="54" t="s">
        <v>73</v>
      </c>
      <c r="K81" s="39" t="s">
        <v>75</v>
      </c>
      <c r="L81" s="70">
        <f t="shared" si="5"/>
        <v>0</v>
      </c>
    </row>
    <row r="82" spans="2:12" ht="31.5" x14ac:dyDescent="0.3">
      <c r="B82" s="22"/>
      <c r="C82" s="23"/>
      <c r="D82" s="22"/>
      <c r="E82" s="24"/>
      <c r="F82" s="19">
        <v>660821.09</v>
      </c>
      <c r="G82" s="19">
        <v>110136.85</v>
      </c>
      <c r="H82" s="19">
        <f t="shared" si="4"/>
        <v>550684.24</v>
      </c>
      <c r="I82" s="53">
        <v>44306</v>
      </c>
      <c r="J82" s="54" t="s">
        <v>76</v>
      </c>
      <c r="K82" s="39" t="s">
        <v>77</v>
      </c>
      <c r="L82" s="70">
        <f t="shared" si="5"/>
        <v>0</v>
      </c>
    </row>
    <row r="83" spans="2:12" x14ac:dyDescent="0.3">
      <c r="B83" s="22" t="s">
        <v>5</v>
      </c>
      <c r="C83" s="23">
        <v>1054422</v>
      </c>
      <c r="D83" s="22">
        <v>2.9264600000000001</v>
      </c>
      <c r="E83" s="24">
        <f t="shared" si="6"/>
        <v>3702868.5673439996</v>
      </c>
      <c r="F83" s="19">
        <v>1356345.74</v>
      </c>
      <c r="G83" s="19">
        <v>226057.62</v>
      </c>
      <c r="H83" s="19">
        <f t="shared" si="4"/>
        <v>1130288.1200000001</v>
      </c>
      <c r="I83" s="53">
        <v>44298</v>
      </c>
      <c r="J83" s="54" t="s">
        <v>78</v>
      </c>
      <c r="K83" s="39" t="s">
        <v>81</v>
      </c>
      <c r="L83" s="70">
        <f t="shared" si="5"/>
        <v>3085723.8061199998</v>
      </c>
    </row>
    <row r="84" spans="2:12" x14ac:dyDescent="0.3">
      <c r="B84" s="22"/>
      <c r="C84" s="23"/>
      <c r="D84" s="22"/>
      <c r="E84" s="24"/>
      <c r="F84" s="19">
        <v>1762339.56</v>
      </c>
      <c r="G84" s="19">
        <v>293723.26</v>
      </c>
      <c r="H84" s="19">
        <f t="shared" si="4"/>
        <v>1468616.3</v>
      </c>
      <c r="I84" s="53">
        <v>44312</v>
      </c>
      <c r="J84" s="54" t="s">
        <v>79</v>
      </c>
      <c r="K84" s="39" t="s">
        <v>82</v>
      </c>
      <c r="L84" s="70">
        <f t="shared" si="5"/>
        <v>0</v>
      </c>
    </row>
    <row r="85" spans="2:12" ht="31.5" x14ac:dyDescent="0.3">
      <c r="B85" s="22"/>
      <c r="C85" s="23"/>
      <c r="D85" s="22"/>
      <c r="E85" s="24"/>
      <c r="F85" s="19">
        <v>584183.27</v>
      </c>
      <c r="G85" s="19">
        <v>97363.88</v>
      </c>
      <c r="H85" s="19">
        <f t="shared" si="4"/>
        <v>486819.39</v>
      </c>
      <c r="I85" s="53">
        <v>44335</v>
      </c>
      <c r="J85" s="54" t="s">
        <v>80</v>
      </c>
      <c r="K85" s="39" t="s">
        <v>83</v>
      </c>
      <c r="L85" s="70">
        <f t="shared" si="5"/>
        <v>0</v>
      </c>
    </row>
    <row r="86" spans="2:12" x14ac:dyDescent="0.3">
      <c r="B86" s="22" t="s">
        <v>6</v>
      </c>
      <c r="C86" s="84" t="s">
        <v>88</v>
      </c>
      <c r="D86" s="85"/>
      <c r="E86" s="86"/>
      <c r="F86" s="19">
        <v>1321754.6599999999</v>
      </c>
      <c r="G86" s="19">
        <v>220292.44</v>
      </c>
      <c r="H86" s="19">
        <f t="shared" si="4"/>
        <v>1101462.22</v>
      </c>
      <c r="I86" s="53">
        <v>44327</v>
      </c>
      <c r="J86" s="54" t="s">
        <v>86</v>
      </c>
      <c r="K86" s="39" t="s">
        <v>84</v>
      </c>
      <c r="L86" s="70">
        <f t="shared" si="5"/>
        <v>0</v>
      </c>
    </row>
    <row r="87" spans="2:12" x14ac:dyDescent="0.3">
      <c r="B87" s="22"/>
      <c r="C87" s="23"/>
      <c r="D87" s="22"/>
      <c r="E87" s="24"/>
      <c r="F87" s="19">
        <v>1481147.42</v>
      </c>
      <c r="G87" s="19">
        <v>246857.9</v>
      </c>
      <c r="H87" s="19">
        <f t="shared" si="4"/>
        <v>1234289.52</v>
      </c>
      <c r="I87" s="53">
        <v>44341</v>
      </c>
      <c r="J87" s="54" t="s">
        <v>87</v>
      </c>
      <c r="K87" s="39" t="s">
        <v>85</v>
      </c>
      <c r="L87" s="70">
        <f t="shared" si="5"/>
        <v>0</v>
      </c>
    </row>
    <row r="88" spans="2:12" x14ac:dyDescent="0.3">
      <c r="B88" s="22"/>
      <c r="C88" s="23"/>
      <c r="D88" s="22"/>
      <c r="E88" s="24"/>
      <c r="F88" s="65">
        <f>SUM(E76:E83)-SUM(F76:F87)</f>
        <v>-2802902.0775360018</v>
      </c>
      <c r="G88" s="65"/>
      <c r="H88" s="19">
        <f t="shared" si="4"/>
        <v>-2335751.73</v>
      </c>
      <c r="I88" s="53"/>
      <c r="J88" s="63" t="s">
        <v>89</v>
      </c>
      <c r="K88" s="64">
        <v>-2802902.08</v>
      </c>
      <c r="L88" s="70">
        <f t="shared" si="5"/>
        <v>0</v>
      </c>
    </row>
    <row r="89" spans="2:12" x14ac:dyDescent="0.3">
      <c r="B89" s="22" t="s">
        <v>7</v>
      </c>
      <c r="C89" s="32"/>
      <c r="D89" s="22"/>
      <c r="E89" s="24">
        <f t="shared" si="6"/>
        <v>0</v>
      </c>
      <c r="F89" s="19"/>
      <c r="G89" s="19"/>
      <c r="H89" s="19">
        <f t="shared" si="4"/>
        <v>0</v>
      </c>
      <c r="I89" s="53"/>
      <c r="J89" s="54"/>
      <c r="K89" s="39"/>
      <c r="L89" s="70">
        <f t="shared" si="5"/>
        <v>0</v>
      </c>
    </row>
    <row r="90" spans="2:12" x14ac:dyDescent="0.3">
      <c r="B90" s="22" t="s">
        <v>8</v>
      </c>
      <c r="C90" s="23"/>
      <c r="D90" s="22"/>
      <c r="E90" s="24">
        <f t="shared" si="6"/>
        <v>0</v>
      </c>
      <c r="F90" s="19"/>
      <c r="G90" s="19"/>
      <c r="H90" s="19">
        <f t="shared" si="4"/>
        <v>0</v>
      </c>
      <c r="I90" s="53"/>
      <c r="J90" s="54"/>
      <c r="K90" s="39"/>
      <c r="L90" s="70">
        <f t="shared" si="5"/>
        <v>0</v>
      </c>
    </row>
    <row r="91" spans="2:12" x14ac:dyDescent="0.3">
      <c r="B91" s="31" t="s">
        <v>9</v>
      </c>
      <c r="C91" s="23"/>
      <c r="D91" s="22"/>
      <c r="E91" s="24">
        <f t="shared" si="6"/>
        <v>0</v>
      </c>
      <c r="F91" s="19"/>
      <c r="G91" s="19"/>
      <c r="H91" s="19">
        <f t="shared" si="4"/>
        <v>0</v>
      </c>
      <c r="I91" s="53"/>
      <c r="J91" s="54"/>
      <c r="K91" s="39"/>
      <c r="L91" s="70">
        <f t="shared" si="5"/>
        <v>0</v>
      </c>
    </row>
    <row r="92" spans="2:12" x14ac:dyDescent="0.3">
      <c r="B92" s="26" t="s">
        <v>10</v>
      </c>
      <c r="C92" s="23"/>
      <c r="D92" s="22"/>
      <c r="E92" s="24">
        <f t="shared" si="6"/>
        <v>0</v>
      </c>
      <c r="F92" s="19"/>
      <c r="G92" s="19"/>
      <c r="H92" s="19">
        <f t="shared" si="4"/>
        <v>0</v>
      </c>
      <c r="I92" s="53"/>
      <c r="J92" s="54"/>
      <c r="K92" s="39"/>
      <c r="L92" s="70">
        <f t="shared" si="5"/>
        <v>0</v>
      </c>
    </row>
    <row r="93" spans="2:12" x14ac:dyDescent="0.3">
      <c r="B93" s="34" t="s">
        <v>22</v>
      </c>
      <c r="C93" s="23"/>
      <c r="D93" s="22"/>
      <c r="E93" s="24">
        <f t="shared" si="6"/>
        <v>0</v>
      </c>
      <c r="F93" s="19"/>
      <c r="G93" s="19"/>
      <c r="H93" s="19">
        <f t="shared" si="4"/>
        <v>0</v>
      </c>
      <c r="I93" s="53"/>
      <c r="J93" s="54"/>
      <c r="K93" s="39"/>
      <c r="L93" s="70">
        <f t="shared" si="5"/>
        <v>0</v>
      </c>
    </row>
    <row r="94" spans="2:12" ht="47.25" x14ac:dyDescent="0.3">
      <c r="B94" s="26" t="s">
        <v>12</v>
      </c>
      <c r="C94" s="33">
        <v>1010326</v>
      </c>
      <c r="D94" s="22">
        <v>2.9280499999999998</v>
      </c>
      <c r="E94" s="24">
        <f t="shared" si="6"/>
        <v>3549942.0531599997</v>
      </c>
      <c r="F94" s="38">
        <v>747039.97</v>
      </c>
      <c r="G94" s="38">
        <v>124506.66</v>
      </c>
      <c r="H94" s="19">
        <f t="shared" si="4"/>
        <v>622533.31000000006</v>
      </c>
      <c r="I94" s="53">
        <v>44546</v>
      </c>
      <c r="J94" s="54" t="s">
        <v>90</v>
      </c>
      <c r="K94" s="39" t="s">
        <v>91</v>
      </c>
      <c r="L94" s="70">
        <f t="shared" si="5"/>
        <v>2958285.0442999997</v>
      </c>
    </row>
    <row r="95" spans="2:12" x14ac:dyDescent="0.3">
      <c r="B95" s="26" t="s">
        <v>57</v>
      </c>
      <c r="C95" s="33">
        <v>1689500</v>
      </c>
      <c r="D95" s="22">
        <v>2.74614</v>
      </c>
      <c r="E95" s="24">
        <f t="shared" si="6"/>
        <v>5567524.2360000005</v>
      </c>
      <c r="F95" s="38">
        <v>1419976.82</v>
      </c>
      <c r="G95" s="38">
        <v>236662.8</v>
      </c>
      <c r="H95" s="19">
        <f t="shared" si="4"/>
        <v>1183314.02</v>
      </c>
      <c r="I95" s="53">
        <v>44918</v>
      </c>
      <c r="J95" s="54" t="s">
        <v>93</v>
      </c>
      <c r="K95" s="38" t="s">
        <v>92</v>
      </c>
      <c r="L95" s="70">
        <f t="shared" si="5"/>
        <v>4639603.53</v>
      </c>
    </row>
    <row r="96" spans="2:12" ht="31.5" x14ac:dyDescent="0.3">
      <c r="B96" s="26" t="s">
        <v>58</v>
      </c>
      <c r="C96" s="33">
        <v>632287</v>
      </c>
      <c r="D96" s="22">
        <v>2.7454000000000001</v>
      </c>
      <c r="E96" s="24">
        <f t="shared" si="6"/>
        <v>2083056.87576</v>
      </c>
      <c r="F96" s="38">
        <v>6230604.2999999998</v>
      </c>
      <c r="G96" s="38">
        <v>1038434.06</v>
      </c>
      <c r="H96" s="19">
        <f t="shared" si="4"/>
        <v>5192170.25</v>
      </c>
      <c r="I96" s="53">
        <v>44579</v>
      </c>
      <c r="J96" s="54" t="s">
        <v>94</v>
      </c>
      <c r="K96" s="39" t="s">
        <v>64</v>
      </c>
      <c r="L96" s="70">
        <f t="shared" si="5"/>
        <v>1735880.7298000001</v>
      </c>
    </row>
    <row r="97" spans="2:11" x14ac:dyDescent="0.3">
      <c r="B97" s="26"/>
      <c r="C97" s="33"/>
      <c r="D97" s="22"/>
      <c r="E97" s="24">
        <f t="shared" si="6"/>
        <v>0</v>
      </c>
      <c r="F97" s="38"/>
      <c r="G97" s="38"/>
      <c r="H97" s="38"/>
      <c r="I97" s="53"/>
      <c r="J97" s="54"/>
      <c r="K97" s="38"/>
    </row>
    <row r="98" spans="2:11" x14ac:dyDescent="0.3">
      <c r="B98" s="26"/>
      <c r="C98" s="33"/>
      <c r="D98" s="22"/>
      <c r="E98" s="24">
        <f t="shared" si="6"/>
        <v>0</v>
      </c>
      <c r="F98" s="38"/>
      <c r="G98" s="38"/>
      <c r="H98" s="38"/>
      <c r="I98" s="53"/>
      <c r="J98" s="54"/>
      <c r="K98" s="38"/>
    </row>
    <row r="99" spans="2:11" x14ac:dyDescent="0.3">
      <c r="B99" s="35" t="s">
        <v>95</v>
      </c>
      <c r="C99" s="36">
        <f>SUM(C76:C98)</f>
        <v>8457798</v>
      </c>
      <c r="D99" s="37">
        <f>(E99/C99)/1.2</f>
        <v>2.8540187407904516</v>
      </c>
      <c r="E99" s="36">
        <f>SUM(E76:E98)</f>
        <v>28966456.797384001</v>
      </c>
      <c r="F99" s="73">
        <f>F76+F77+F78+F79+F80+F81+F82+F83+F84+F85+F86+F87+F94+F95+F96</f>
        <v>28966456.800000001</v>
      </c>
      <c r="G99" s="40">
        <f>G76+G77+G78+G79+G80+G81+G82+G83+G84+G85+G86+G87+G94+G95+G96</f>
        <v>4827742.8800000008</v>
      </c>
      <c r="H99" s="73">
        <f>F99/1.2</f>
        <v>24138714</v>
      </c>
      <c r="I99" s="53"/>
      <c r="J99" s="55"/>
      <c r="K99" s="40"/>
    </row>
    <row r="100" spans="2:11" x14ac:dyDescent="0.3">
      <c r="B100" s="41"/>
      <c r="C100" s="36"/>
      <c r="D100" s="37"/>
      <c r="E100" s="42"/>
      <c r="F100" s="42"/>
      <c r="G100" s="42"/>
      <c r="H100" s="40"/>
      <c r="I100" s="53"/>
      <c r="J100" s="52"/>
      <c r="K100" s="40"/>
    </row>
    <row r="101" spans="2:11" x14ac:dyDescent="0.3">
      <c r="B101" s="41"/>
      <c r="C101" s="36"/>
      <c r="D101" s="36"/>
      <c r="E101" s="36"/>
      <c r="F101" s="36"/>
      <c r="G101" s="36"/>
      <c r="H101" s="40"/>
      <c r="I101" s="25"/>
      <c r="J101" s="40"/>
      <c r="K101" s="40"/>
    </row>
    <row r="102" spans="2:11" ht="19.5" x14ac:dyDescent="0.3">
      <c r="B102" s="81" t="s">
        <v>25</v>
      </c>
      <c r="C102" s="82"/>
      <c r="D102" s="82"/>
      <c r="E102" s="82"/>
      <c r="F102" s="82"/>
      <c r="G102" s="82"/>
      <c r="H102" s="82"/>
      <c r="I102" s="82"/>
      <c r="J102" s="82"/>
      <c r="K102" s="83"/>
    </row>
    <row r="103" spans="2:11" ht="33" x14ac:dyDescent="0.3">
      <c r="B103" s="48">
        <v>2021</v>
      </c>
      <c r="C103" s="30" t="s">
        <v>16</v>
      </c>
      <c r="D103" s="30" t="s">
        <v>17</v>
      </c>
      <c r="E103" s="30" t="s">
        <v>0</v>
      </c>
      <c r="F103" s="30" t="s">
        <v>61</v>
      </c>
      <c r="G103" s="30"/>
      <c r="H103" s="30" t="s">
        <v>96</v>
      </c>
      <c r="I103" s="30" t="s">
        <v>13</v>
      </c>
      <c r="J103" s="30" t="s">
        <v>11</v>
      </c>
      <c r="K103" s="30" t="s">
        <v>18</v>
      </c>
    </row>
    <row r="104" spans="2:11" x14ac:dyDescent="0.3">
      <c r="B104" s="31" t="s">
        <v>97</v>
      </c>
      <c r="C104" s="23">
        <v>64500</v>
      </c>
      <c r="D104" s="22">
        <v>2.6725599999999998</v>
      </c>
      <c r="E104" s="24">
        <v>206856.14</v>
      </c>
      <c r="F104" s="22"/>
      <c r="G104" s="22"/>
      <c r="H104" s="22"/>
      <c r="I104" s="22"/>
      <c r="J104" s="22"/>
      <c r="K104" s="22"/>
    </row>
    <row r="105" spans="2:11" x14ac:dyDescent="0.3">
      <c r="B105" s="26" t="s">
        <v>98</v>
      </c>
      <c r="C105" s="23">
        <v>38630</v>
      </c>
      <c r="D105" s="22">
        <v>2.7290800000000002</v>
      </c>
      <c r="E105" s="24">
        <v>126509.23</v>
      </c>
      <c r="F105" s="22"/>
      <c r="G105" s="22"/>
      <c r="H105" s="22"/>
      <c r="I105" s="22"/>
      <c r="J105" s="22"/>
      <c r="K105" s="22"/>
    </row>
    <row r="106" spans="2:11" x14ac:dyDescent="0.3">
      <c r="B106" s="22"/>
      <c r="C106" s="23"/>
      <c r="D106" s="22"/>
      <c r="E106" s="71">
        <v>333365.37</v>
      </c>
      <c r="F106" s="38">
        <v>333365.37</v>
      </c>
      <c r="G106" s="38"/>
      <c r="H106" s="22">
        <v>277804.48</v>
      </c>
      <c r="I106" s="25">
        <v>44245</v>
      </c>
      <c r="J106" s="22">
        <v>132</v>
      </c>
      <c r="K106" s="22"/>
    </row>
    <row r="107" spans="2:11" x14ac:dyDescent="0.3">
      <c r="B107" s="31" t="s">
        <v>99</v>
      </c>
      <c r="C107" s="23">
        <v>61800</v>
      </c>
      <c r="D107" s="22">
        <v>2.7210800000000002</v>
      </c>
      <c r="E107" s="24">
        <v>201795.29</v>
      </c>
      <c r="F107" s="38"/>
      <c r="G107" s="38"/>
      <c r="H107" s="22"/>
      <c r="I107" s="25"/>
      <c r="J107" s="22"/>
      <c r="K107" s="22"/>
    </row>
    <row r="108" spans="2:11" x14ac:dyDescent="0.3">
      <c r="B108" s="26" t="s">
        <v>100</v>
      </c>
      <c r="C108" s="23">
        <v>136678</v>
      </c>
      <c r="D108" s="22">
        <v>2.7776000000000001</v>
      </c>
      <c r="E108" s="24">
        <v>455564.17</v>
      </c>
      <c r="F108" s="38"/>
      <c r="G108" s="38"/>
      <c r="H108" s="22"/>
      <c r="I108" s="25"/>
      <c r="J108" s="22"/>
      <c r="K108" s="22"/>
    </row>
    <row r="109" spans="2:11" x14ac:dyDescent="0.3">
      <c r="B109" s="22"/>
      <c r="C109" s="23"/>
      <c r="D109" s="22"/>
      <c r="E109" s="71">
        <v>657359.46</v>
      </c>
      <c r="F109" s="38">
        <v>657359.46</v>
      </c>
      <c r="G109" s="38"/>
      <c r="H109" s="22">
        <v>547799.55000000005</v>
      </c>
      <c r="I109" s="25">
        <v>44273</v>
      </c>
      <c r="J109" s="22">
        <v>234</v>
      </c>
      <c r="K109" s="22"/>
    </row>
    <row r="110" spans="2:11" x14ac:dyDescent="0.3">
      <c r="B110" s="31" t="s">
        <v>101</v>
      </c>
      <c r="C110" s="23">
        <v>56400</v>
      </c>
      <c r="D110" s="22">
        <v>2.55707</v>
      </c>
      <c r="E110" s="24">
        <v>173062.5</v>
      </c>
      <c r="F110" s="38"/>
      <c r="G110" s="38"/>
      <c r="H110" s="22"/>
      <c r="I110" s="25"/>
      <c r="J110" s="22"/>
      <c r="K110" s="22"/>
    </row>
    <row r="111" spans="2:11" x14ac:dyDescent="0.3">
      <c r="B111" s="26" t="s">
        <v>102</v>
      </c>
      <c r="C111" s="23">
        <v>47773</v>
      </c>
      <c r="D111" s="22">
        <v>2.6135899999999999</v>
      </c>
      <c r="E111" s="24">
        <v>149830.85</v>
      </c>
      <c r="F111" s="38"/>
      <c r="G111" s="38"/>
      <c r="H111" s="22"/>
      <c r="I111" s="25"/>
      <c r="J111" s="22"/>
      <c r="K111" s="22"/>
    </row>
    <row r="112" spans="2:11" x14ac:dyDescent="0.3">
      <c r="B112" s="22"/>
      <c r="C112" s="23"/>
      <c r="D112" s="22"/>
      <c r="E112" s="71">
        <v>322893.34999999998</v>
      </c>
      <c r="F112" s="38">
        <v>322893.34999999998</v>
      </c>
      <c r="G112" s="38"/>
      <c r="H112" s="22">
        <v>269077.78999999998</v>
      </c>
      <c r="I112" s="25">
        <v>44301</v>
      </c>
      <c r="J112" s="22">
        <v>343</v>
      </c>
      <c r="K112" s="22"/>
    </row>
    <row r="113" spans="2:11" x14ac:dyDescent="0.3">
      <c r="B113" s="31" t="s">
        <v>103</v>
      </c>
      <c r="C113" s="23">
        <v>51100</v>
      </c>
      <c r="D113" s="22">
        <v>2.7102300000000001</v>
      </c>
      <c r="E113" s="24">
        <v>166191.29999999999</v>
      </c>
      <c r="F113" s="38"/>
      <c r="G113" s="38"/>
      <c r="H113" s="22"/>
      <c r="I113" s="25"/>
      <c r="J113" s="22"/>
      <c r="K113" s="22"/>
    </row>
    <row r="114" spans="2:11" x14ac:dyDescent="0.3">
      <c r="B114" s="26" t="s">
        <v>104</v>
      </c>
      <c r="C114" s="23">
        <v>13329</v>
      </c>
      <c r="D114" s="22">
        <v>2.76675</v>
      </c>
      <c r="E114" s="24">
        <v>44253.61</v>
      </c>
      <c r="F114" s="38"/>
      <c r="G114" s="38"/>
      <c r="H114" s="22"/>
      <c r="I114" s="25"/>
      <c r="J114" s="22"/>
      <c r="K114" s="22"/>
    </row>
    <row r="115" spans="2:11" x14ac:dyDescent="0.3">
      <c r="B115" s="22"/>
      <c r="C115" s="23"/>
      <c r="D115" s="22"/>
      <c r="E115" s="71">
        <v>210444.90999999997</v>
      </c>
      <c r="F115" s="38">
        <v>210444.91</v>
      </c>
      <c r="G115" s="38"/>
      <c r="H115" s="22">
        <v>175370.76</v>
      </c>
      <c r="I115" s="25">
        <v>44335</v>
      </c>
      <c r="J115" s="22">
        <v>428</v>
      </c>
      <c r="K115" s="22"/>
    </row>
    <row r="116" spans="2:11" x14ac:dyDescent="0.3">
      <c r="B116" s="22" t="s">
        <v>6</v>
      </c>
      <c r="C116" s="23">
        <v>121</v>
      </c>
      <c r="D116" s="22">
        <v>2.3300999999999998</v>
      </c>
      <c r="E116" s="71">
        <v>338.33</v>
      </c>
      <c r="F116" s="38">
        <v>338.33</v>
      </c>
      <c r="G116" s="38"/>
      <c r="H116" s="22">
        <v>281.94</v>
      </c>
      <c r="I116" s="25">
        <v>44362</v>
      </c>
      <c r="J116" s="22">
        <v>520</v>
      </c>
      <c r="K116" s="22"/>
    </row>
    <row r="117" spans="2:11" x14ac:dyDescent="0.3">
      <c r="B117" s="22" t="s">
        <v>7</v>
      </c>
      <c r="C117" s="23">
        <v>109</v>
      </c>
      <c r="D117" s="22">
        <v>2.5456699999999999</v>
      </c>
      <c r="E117" s="71">
        <v>332.98</v>
      </c>
      <c r="F117" s="38">
        <v>332.98</v>
      </c>
      <c r="G117" s="38"/>
      <c r="H117" s="22">
        <v>277.48</v>
      </c>
      <c r="I117" s="25">
        <v>44392</v>
      </c>
      <c r="J117" s="22">
        <v>608</v>
      </c>
      <c r="K117" s="22"/>
    </row>
    <row r="118" spans="2:11" x14ac:dyDescent="0.3">
      <c r="B118" s="31" t="s">
        <v>105</v>
      </c>
      <c r="C118" s="23">
        <v>43000</v>
      </c>
      <c r="D118" s="22">
        <v>2.5589400000000002</v>
      </c>
      <c r="E118" s="24">
        <v>132041.31</v>
      </c>
      <c r="F118" s="38"/>
      <c r="G118" s="38"/>
      <c r="H118" s="22"/>
      <c r="I118" s="25"/>
      <c r="J118" s="22"/>
      <c r="K118" s="22"/>
    </row>
    <row r="119" spans="2:11" x14ac:dyDescent="0.3">
      <c r="B119" s="26" t="s">
        <v>106</v>
      </c>
      <c r="C119" s="23">
        <v>2151</v>
      </c>
      <c r="D119" s="22">
        <v>2.6433800000000001</v>
      </c>
      <c r="E119" s="24">
        <v>6823.08</v>
      </c>
      <c r="F119" s="38"/>
      <c r="G119" s="38"/>
      <c r="H119" s="22"/>
      <c r="I119" s="25"/>
      <c r="J119" s="22"/>
      <c r="K119" s="22"/>
    </row>
    <row r="120" spans="2:11" x14ac:dyDescent="0.3">
      <c r="B120" s="26"/>
      <c r="C120" s="23"/>
      <c r="D120" s="22"/>
      <c r="E120" s="71">
        <v>138864.38999999998</v>
      </c>
      <c r="F120" s="38">
        <v>138864.39000000001</v>
      </c>
      <c r="G120" s="38"/>
      <c r="H120" s="22">
        <v>115720.33</v>
      </c>
      <c r="I120" s="25">
        <v>44424</v>
      </c>
      <c r="J120" s="22">
        <v>730</v>
      </c>
      <c r="K120" s="22"/>
    </row>
    <row r="121" spans="2:11" x14ac:dyDescent="0.3">
      <c r="B121" s="26" t="s">
        <v>9</v>
      </c>
      <c r="C121" s="23">
        <v>103</v>
      </c>
      <c r="D121" s="22">
        <v>2.69469</v>
      </c>
      <c r="E121" s="71">
        <v>333.06</v>
      </c>
      <c r="F121" s="38">
        <v>333.06</v>
      </c>
      <c r="G121" s="38"/>
      <c r="H121" s="22">
        <v>277.55</v>
      </c>
      <c r="I121" s="25">
        <v>44456</v>
      </c>
      <c r="J121" s="22">
        <v>847</v>
      </c>
      <c r="K121" s="22"/>
    </row>
    <row r="122" spans="2:11" x14ac:dyDescent="0.3">
      <c r="B122" s="26" t="s">
        <v>10</v>
      </c>
      <c r="C122" s="23">
        <v>14229</v>
      </c>
      <c r="D122" s="22">
        <v>2.9463400000000002</v>
      </c>
      <c r="E122" s="71">
        <v>50308.160000000003</v>
      </c>
      <c r="F122" s="38">
        <v>50308.160000000003</v>
      </c>
      <c r="G122" s="38"/>
      <c r="H122" s="22">
        <v>41923.47</v>
      </c>
      <c r="I122" s="25">
        <v>44457</v>
      </c>
      <c r="J122" s="22">
        <v>943</v>
      </c>
      <c r="K122" s="22"/>
    </row>
    <row r="123" spans="2:11" x14ac:dyDescent="0.3">
      <c r="B123" s="26" t="s">
        <v>53</v>
      </c>
      <c r="C123" s="23">
        <v>56400</v>
      </c>
      <c r="D123" s="22">
        <v>2.7280899999999999</v>
      </c>
      <c r="E123" s="24">
        <v>184637.14</v>
      </c>
      <c r="F123" s="38"/>
      <c r="G123" s="38"/>
      <c r="H123" s="22"/>
      <c r="I123" s="25"/>
      <c r="J123" s="22"/>
      <c r="K123" s="22"/>
    </row>
    <row r="124" spans="2:11" x14ac:dyDescent="0.3">
      <c r="B124" s="26" t="s">
        <v>54</v>
      </c>
      <c r="C124" s="23">
        <v>136118</v>
      </c>
      <c r="D124" s="22">
        <v>2.8125300000000002</v>
      </c>
      <c r="E124" s="24">
        <v>459403.15</v>
      </c>
      <c r="F124" s="38"/>
      <c r="G124" s="38"/>
      <c r="H124" s="22"/>
      <c r="I124" s="22"/>
      <c r="J124" s="22"/>
      <c r="K124" s="22"/>
    </row>
    <row r="125" spans="2:11" x14ac:dyDescent="0.3">
      <c r="B125" s="26"/>
      <c r="C125" s="23"/>
      <c r="D125" s="22"/>
      <c r="E125" s="71">
        <v>644040.29</v>
      </c>
      <c r="F125" s="38">
        <v>644040.29</v>
      </c>
      <c r="G125" s="38"/>
      <c r="H125" s="22">
        <v>536700.24</v>
      </c>
      <c r="I125" s="25">
        <v>44515</v>
      </c>
      <c r="J125" s="22">
        <v>1013</v>
      </c>
      <c r="K125" s="22"/>
    </row>
    <row r="126" spans="2:11" x14ac:dyDescent="0.3">
      <c r="B126" s="26" t="s">
        <v>55</v>
      </c>
      <c r="C126" s="23">
        <v>61800</v>
      </c>
      <c r="D126" s="22">
        <v>2.7200600000000001</v>
      </c>
      <c r="E126" s="24">
        <v>201719.66</v>
      </c>
      <c r="F126" s="38"/>
      <c r="G126" s="38"/>
      <c r="H126" s="22"/>
      <c r="I126" s="25"/>
      <c r="J126" s="22"/>
      <c r="K126" s="22"/>
    </row>
    <row r="127" spans="2:11" x14ac:dyDescent="0.3">
      <c r="B127" s="26" t="s">
        <v>56</v>
      </c>
      <c r="C127" s="23">
        <v>55086</v>
      </c>
      <c r="D127" s="22">
        <v>2.8045</v>
      </c>
      <c r="E127" s="24">
        <v>185386.42</v>
      </c>
      <c r="F127" s="38"/>
      <c r="G127" s="38"/>
      <c r="H127" s="22"/>
      <c r="I127" s="22"/>
      <c r="J127" s="22"/>
      <c r="K127" s="22"/>
    </row>
    <row r="128" spans="2:11" x14ac:dyDescent="0.3">
      <c r="B128" s="26"/>
      <c r="C128" s="23"/>
      <c r="D128" s="22"/>
      <c r="E128" s="71">
        <v>387106.08</v>
      </c>
      <c r="F128" s="38">
        <v>387106.08</v>
      </c>
      <c r="G128" s="38"/>
      <c r="H128" s="22">
        <v>322588.40000000002</v>
      </c>
      <c r="I128" s="25">
        <v>44546</v>
      </c>
      <c r="J128" s="22">
        <v>1154</v>
      </c>
      <c r="K128" s="22"/>
    </row>
    <row r="129" spans="2:11" x14ac:dyDescent="0.3">
      <c r="B129" s="26" t="s">
        <v>57</v>
      </c>
      <c r="C129" s="23">
        <v>64500</v>
      </c>
      <c r="D129" s="22">
        <v>2.47316</v>
      </c>
      <c r="E129" s="24">
        <v>191422.58</v>
      </c>
      <c r="F129" s="38"/>
      <c r="G129" s="38"/>
      <c r="H129" s="22"/>
      <c r="I129" s="25"/>
      <c r="J129" s="22"/>
      <c r="K129" s="22"/>
    </row>
    <row r="130" spans="2:11" x14ac:dyDescent="0.3">
      <c r="B130" s="26" t="s">
        <v>58</v>
      </c>
      <c r="C130" s="23">
        <v>287238</v>
      </c>
      <c r="D130" s="22">
        <v>2.5575999999999999</v>
      </c>
      <c r="E130" s="24">
        <v>881567.89</v>
      </c>
      <c r="F130" s="38"/>
      <c r="G130" s="38"/>
      <c r="H130" s="22"/>
      <c r="I130" s="22"/>
      <c r="J130" s="22"/>
      <c r="K130" s="22"/>
    </row>
    <row r="131" spans="2:11" x14ac:dyDescent="0.3">
      <c r="B131" s="26"/>
      <c r="C131" s="23"/>
      <c r="D131" s="22"/>
      <c r="E131" s="71">
        <v>1072990.47</v>
      </c>
      <c r="F131" s="38">
        <v>1072990.47</v>
      </c>
      <c r="G131" s="38"/>
      <c r="H131" s="22">
        <v>894158.73</v>
      </c>
      <c r="I131" s="25">
        <v>44579</v>
      </c>
      <c r="J131" s="22">
        <v>24</v>
      </c>
      <c r="K131" s="22"/>
    </row>
    <row r="132" spans="2:11" x14ac:dyDescent="0.3">
      <c r="B132" s="35" t="s">
        <v>24</v>
      </c>
      <c r="C132" s="36">
        <f>SUM(C104:C130)</f>
        <v>1191065</v>
      </c>
      <c r="D132" s="37">
        <f>(E132/C132)/1.2</f>
        <v>2.671542450104178</v>
      </c>
      <c r="E132" s="40">
        <f>E106+E109+E112+E115++E116+E117+E120+E121+E122+E125+E128+E131</f>
        <v>3818376.8499999996</v>
      </c>
      <c r="F132" s="73">
        <f>SUM(F104:F131)</f>
        <v>3818376.8499999996</v>
      </c>
      <c r="G132" s="73">
        <f t="shared" ref="G132:H132" si="7">SUM(G104:G131)</f>
        <v>0</v>
      </c>
      <c r="H132" s="73">
        <f t="shared" si="7"/>
        <v>3181980.72</v>
      </c>
      <c r="I132" s="5"/>
      <c r="J132" s="5"/>
      <c r="K132" s="5"/>
    </row>
  </sheetData>
  <mergeCells count="6">
    <mergeCell ref="B1:K1"/>
    <mergeCell ref="B30:K30"/>
    <mergeCell ref="B51:K51"/>
    <mergeCell ref="B74:K74"/>
    <mergeCell ref="B102:K102"/>
    <mergeCell ref="C86:E86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</dc:creator>
  <cp:lastModifiedBy>User</cp:lastModifiedBy>
  <cp:lastPrinted>2019-09-20T11:09:25Z</cp:lastPrinted>
  <dcterms:created xsi:type="dcterms:W3CDTF">2019-09-20T08:43:54Z</dcterms:created>
  <dcterms:modified xsi:type="dcterms:W3CDTF">2022-02-17T00:32:56Z</dcterms:modified>
</cp:coreProperties>
</file>